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Rozanne\Desktop\SALES\Quotes\AGENTS\Netherlands\"/>
    </mc:Choice>
  </mc:AlternateContent>
  <bookViews>
    <workbookView xWindow="-105" yWindow="-105" windowWidth="23250" windowHeight="12570" tabRatio="643" firstSheet="1" activeTab="1"/>
  </bookViews>
  <sheets>
    <sheet name="Costing Template " sheetId="14" state="hidden" r:id="rId1"/>
    <sheet name="TFG Quotation Template" sheetId="22" r:id="rId2"/>
    <sheet name="Cost Breakdown - FIT " sheetId="25" r:id="rId3"/>
    <sheet name="Cost Breakdown - TOTA" sheetId="26" r:id="rId4"/>
    <sheet name="TFG Quotation Template (2)" sheetId="23" state="hidden" r:id="rId5"/>
  </sheets>
  <definedNames>
    <definedName name="APR" localSheetId="0">#REF!</definedName>
    <definedName name="APR" localSheetId="4">#REF!</definedName>
    <definedName name="APR">#REF!</definedName>
    <definedName name="BCHR" localSheetId="0">#REF!</definedName>
    <definedName name="BCHR" localSheetId="4">#REF!</definedName>
    <definedName name="BCHR">#REF!</definedName>
    <definedName name="BCHRA" localSheetId="0">#REF!</definedName>
    <definedName name="BCHRA" localSheetId="4">#REF!</definedName>
    <definedName name="BCHRA">#REF!</definedName>
    <definedName name="ddd" localSheetId="4">'TFG Quotation Template (2)'!$M$92</definedName>
    <definedName name="ddd">'TFG Quotation Template'!$U$107</definedName>
    <definedName name="DTH" localSheetId="0">#REF!</definedName>
    <definedName name="DTH" localSheetId="4">#REF!</definedName>
    <definedName name="DTH">#REF!</definedName>
    <definedName name="DTHA" localSheetId="0">#REF!</definedName>
    <definedName name="DTHA" localSheetId="4">#REF!</definedName>
    <definedName name="DTHA">#REF!</definedName>
    <definedName name="ex" localSheetId="0">#REF!</definedName>
    <definedName name="ex" localSheetId="4">#REF!</definedName>
    <definedName name="ex">#REF!</definedName>
    <definedName name="LA" localSheetId="0">#REF!</definedName>
    <definedName name="LA" localSheetId="4">#REF!</definedName>
    <definedName name="LA">#REF!</definedName>
    <definedName name="LUR" localSheetId="0">#REF!</definedName>
    <definedName name="LUR" localSheetId="4">#REF!</definedName>
    <definedName name="LUR">#REF!</definedName>
    <definedName name="LURA" localSheetId="0">#REF!</definedName>
    <definedName name="LURA" localSheetId="4">#REF!</definedName>
    <definedName name="LURA">#REF!</definedName>
    <definedName name="pax" localSheetId="0">'Costing Template '!$H$3</definedName>
    <definedName name="pax" localSheetId="4">#REF!</definedName>
    <definedName name="pax">#REF!</definedName>
    <definedName name="_xlnm.Print_Area" localSheetId="2">'Cost Breakdown - FIT '!$B$4:$R$75</definedName>
    <definedName name="_xlnm.Print_Area" localSheetId="0">'Costing Template '!$A$1:$S$245</definedName>
    <definedName name="RHR" localSheetId="0">#REF!</definedName>
    <definedName name="RHR" localSheetId="4">#REF!</definedName>
    <definedName name="RHR">#REF!</definedName>
    <definedName name="rvhr" localSheetId="0">#REF!</definedName>
    <definedName name="rvhr" localSheetId="4">#REF!</definedName>
    <definedName name="rvhr">#REF!</definedName>
    <definedName name="rvhre" localSheetId="0">#REF!</definedName>
    <definedName name="rvhre" localSheetId="4">#REF!</definedName>
    <definedName name="rvhre">#REF!</definedName>
    <definedName name="RVR" localSheetId="0">#REF!</definedName>
    <definedName name="RVR" localSheetId="4">#REF!</definedName>
    <definedName name="RVR">#REF!</definedName>
    <definedName name="SCH" localSheetId="0">#REF!</definedName>
    <definedName name="SCH" localSheetId="4">#REF!</definedName>
    <definedName name="SCH">#REF!</definedName>
    <definedName name="shr" localSheetId="0">#REF!</definedName>
    <definedName name="shr" localSheetId="4">#REF!</definedName>
    <definedName name="shr">#REF!</definedName>
    <definedName name="shra" localSheetId="0">#REF!</definedName>
    <definedName name="shra" localSheetId="4">#REF!</definedName>
    <definedName name="shra">#REF!</definedName>
    <definedName name="TAPA" localSheetId="0">#REF!</definedName>
    <definedName name="TAPA" localSheetId="4">#REF!</definedName>
    <definedName name="TAPA">#REF!</definedName>
    <definedName name="TAPR" localSheetId="0">#REF!</definedName>
    <definedName name="TAPR" localSheetId="4">#REF!</definedName>
    <definedName name="TAPR">#REF!</definedName>
    <definedName name="td" localSheetId="0">'Costing Template '!$C$21</definedName>
    <definedName name="td" localSheetId="4">#REF!</definedName>
    <definedName name="td">#REF!</definedName>
    <definedName name="tk" localSheetId="0">'Costing Template '!$H$21</definedName>
    <definedName name="tk" localSheetId="4">#REF!</definedName>
    <definedName name="tk">#REF!</definedName>
    <definedName name="TTS" localSheetId="0">#REF!</definedName>
    <definedName name="TTS" localSheetId="4">#REF!</definedName>
    <definedName name="TTS">#REF!</definedName>
    <definedName name="TVR" localSheetId="0">#REF!</definedName>
    <definedName name="TVR" localSheetId="4">#REF!</definedName>
    <definedName name="TVR">#REF!</definedName>
    <definedName name="USA" localSheetId="4">'TFG Quotation Template (2)'!$AJ$18</definedName>
    <definedName name="USA">'TFG Quotation Template'!#REF!</definedName>
    <definedName name="VAT" localSheetId="0">#REF!</definedName>
    <definedName name="VAT" localSheetId="4">#REF!</definedName>
    <definedName name="VAT">#REF!</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22" l="1"/>
  <c r="H201" i="22"/>
  <c r="L9" i="22"/>
  <c r="H68" i="22"/>
  <c r="M9" i="22"/>
  <c r="M8" i="22"/>
  <c r="I8" i="26" l="1"/>
  <c r="I8" i="25"/>
  <c r="D16" i="26"/>
  <c r="E16" i="26"/>
  <c r="F16" i="26"/>
  <c r="G16" i="26"/>
  <c r="H16" i="26"/>
  <c r="I16" i="26"/>
  <c r="D17" i="26"/>
  <c r="E17" i="26"/>
  <c r="F17" i="26"/>
  <c r="G17" i="26"/>
  <c r="H17" i="26"/>
  <c r="I17" i="26"/>
  <c r="D18" i="26"/>
  <c r="E18" i="26"/>
  <c r="F18" i="26"/>
  <c r="G18" i="26"/>
  <c r="H18" i="26"/>
  <c r="I18" i="26"/>
  <c r="D19" i="26"/>
  <c r="E19" i="26"/>
  <c r="F19" i="26"/>
  <c r="G19" i="26"/>
  <c r="H19" i="26"/>
  <c r="I19" i="26"/>
  <c r="D20" i="26"/>
  <c r="E20" i="26"/>
  <c r="F20" i="26"/>
  <c r="G20" i="26"/>
  <c r="H20" i="26"/>
  <c r="I20" i="26"/>
  <c r="D21" i="26"/>
  <c r="E21" i="26"/>
  <c r="F21" i="26"/>
  <c r="G21" i="26"/>
  <c r="H21" i="26"/>
  <c r="I21" i="26"/>
  <c r="D22" i="26"/>
  <c r="E22" i="26"/>
  <c r="F22" i="26"/>
  <c r="G22" i="26"/>
  <c r="H22" i="26"/>
  <c r="I22" i="26"/>
  <c r="D23" i="26"/>
  <c r="E23" i="26"/>
  <c r="F23" i="26"/>
  <c r="G23" i="26"/>
  <c r="H23" i="26"/>
  <c r="I23" i="26"/>
  <c r="D24" i="26"/>
  <c r="E24" i="26"/>
  <c r="F24" i="26"/>
  <c r="G24" i="26"/>
  <c r="H24" i="26"/>
  <c r="I24" i="26"/>
  <c r="D25" i="26"/>
  <c r="E25" i="26"/>
  <c r="F25" i="26"/>
  <c r="G25" i="26"/>
  <c r="H25" i="26"/>
  <c r="I25" i="26"/>
  <c r="D26" i="26"/>
  <c r="E26" i="26"/>
  <c r="F26" i="26"/>
  <c r="G26" i="26"/>
  <c r="H26" i="26"/>
  <c r="I26" i="26"/>
  <c r="D27" i="26"/>
  <c r="E27" i="26"/>
  <c r="F27" i="26"/>
  <c r="G27" i="26"/>
  <c r="H27" i="26"/>
  <c r="I27" i="26"/>
  <c r="D28" i="26"/>
  <c r="E28" i="26"/>
  <c r="F28" i="26"/>
  <c r="G28" i="26"/>
  <c r="H28" i="26"/>
  <c r="I28" i="26"/>
  <c r="D29" i="26"/>
  <c r="E29" i="26"/>
  <c r="F29" i="26"/>
  <c r="G29" i="26"/>
  <c r="H29" i="26"/>
  <c r="I29" i="26"/>
  <c r="J29" i="26"/>
  <c r="D30" i="26"/>
  <c r="E30" i="26"/>
  <c r="F30" i="26"/>
  <c r="G30" i="26"/>
  <c r="H30" i="26"/>
  <c r="I30" i="26"/>
  <c r="J30" i="26"/>
  <c r="D31" i="26"/>
  <c r="E31" i="26"/>
  <c r="F31" i="26"/>
  <c r="G31" i="26"/>
  <c r="H31" i="26"/>
  <c r="I31" i="26"/>
  <c r="J31" i="26"/>
  <c r="D32" i="26"/>
  <c r="E32" i="26"/>
  <c r="F32" i="26"/>
  <c r="G32" i="26"/>
  <c r="H32" i="26"/>
  <c r="I32" i="26"/>
  <c r="J32" i="26"/>
  <c r="D33" i="26"/>
  <c r="E33" i="26"/>
  <c r="F33" i="26"/>
  <c r="G33" i="26"/>
  <c r="H33" i="26"/>
  <c r="I33" i="26"/>
  <c r="J33" i="26"/>
  <c r="D34" i="26"/>
  <c r="E34" i="26"/>
  <c r="F34" i="26"/>
  <c r="G34" i="26"/>
  <c r="H34" i="26"/>
  <c r="I34" i="26"/>
  <c r="J34" i="26"/>
  <c r="D35" i="26"/>
  <c r="E35" i="26"/>
  <c r="F35" i="26"/>
  <c r="G35" i="26"/>
  <c r="H35" i="26"/>
  <c r="I35" i="26"/>
  <c r="J35" i="26"/>
  <c r="D36" i="26"/>
  <c r="E36" i="26"/>
  <c r="F36" i="26"/>
  <c r="G36" i="26"/>
  <c r="H36" i="26"/>
  <c r="I36" i="26"/>
  <c r="J36" i="26"/>
  <c r="D37" i="26"/>
  <c r="E37" i="26"/>
  <c r="F37" i="26"/>
  <c r="G37" i="26"/>
  <c r="H37" i="26"/>
  <c r="I37" i="26"/>
  <c r="J37" i="26"/>
  <c r="D38" i="26"/>
  <c r="E38" i="26"/>
  <c r="F38" i="26"/>
  <c r="G38" i="26"/>
  <c r="H38" i="26"/>
  <c r="I38" i="26"/>
  <c r="J38" i="26"/>
  <c r="D39" i="26"/>
  <c r="E39" i="26"/>
  <c r="F39" i="26"/>
  <c r="G39" i="26"/>
  <c r="H39" i="26"/>
  <c r="I39" i="26"/>
  <c r="J39" i="26"/>
  <c r="D40" i="26"/>
  <c r="E40" i="26"/>
  <c r="F40" i="26"/>
  <c r="G40" i="26"/>
  <c r="H40" i="26"/>
  <c r="I40" i="26"/>
  <c r="J40" i="26"/>
  <c r="D41" i="26"/>
  <c r="E41" i="26"/>
  <c r="F41" i="26"/>
  <c r="G41" i="26"/>
  <c r="H41" i="26"/>
  <c r="I41" i="26"/>
  <c r="J41" i="26"/>
  <c r="D42" i="26"/>
  <c r="E42" i="26"/>
  <c r="F42" i="26"/>
  <c r="G42" i="26"/>
  <c r="H42" i="26"/>
  <c r="I42" i="26"/>
  <c r="J42" i="26"/>
  <c r="D43" i="26"/>
  <c r="E43" i="26"/>
  <c r="F43" i="26"/>
  <c r="G43" i="26"/>
  <c r="H43" i="26"/>
  <c r="I43" i="26"/>
  <c r="J43" i="26"/>
  <c r="D44" i="26"/>
  <c r="E44" i="26"/>
  <c r="F44" i="26"/>
  <c r="G44" i="26"/>
  <c r="H44" i="26"/>
  <c r="I44" i="26"/>
  <c r="J44" i="26"/>
  <c r="D16" i="25" l="1"/>
  <c r="E16" i="25"/>
  <c r="F16" i="25"/>
  <c r="G16" i="25"/>
  <c r="H16" i="25"/>
  <c r="D17" i="25"/>
  <c r="E17" i="25"/>
  <c r="F17" i="25"/>
  <c r="G17" i="25"/>
  <c r="H17" i="25"/>
  <c r="D18" i="25"/>
  <c r="E18" i="25"/>
  <c r="F18" i="25"/>
  <c r="G18" i="25"/>
  <c r="H18" i="25"/>
  <c r="D19" i="25"/>
  <c r="E19" i="25"/>
  <c r="F19" i="25"/>
  <c r="G19" i="25"/>
  <c r="H19" i="25"/>
  <c r="D20" i="25"/>
  <c r="E20" i="25"/>
  <c r="F20" i="25"/>
  <c r="G20" i="25"/>
  <c r="H20" i="25"/>
  <c r="D21" i="25"/>
  <c r="E21" i="25"/>
  <c r="F21" i="25"/>
  <c r="G21" i="25"/>
  <c r="H21" i="25"/>
  <c r="D22" i="25"/>
  <c r="E22" i="25"/>
  <c r="F22" i="25"/>
  <c r="G22" i="25"/>
  <c r="H22" i="25"/>
  <c r="D23" i="25"/>
  <c r="E23" i="25"/>
  <c r="F23" i="25"/>
  <c r="G23" i="25"/>
  <c r="H23" i="25"/>
  <c r="D24" i="25"/>
  <c r="E24" i="25"/>
  <c r="F24" i="25"/>
  <c r="G24" i="25"/>
  <c r="H24" i="25"/>
  <c r="D25" i="25"/>
  <c r="E25" i="25"/>
  <c r="F25" i="25"/>
  <c r="G25" i="25"/>
  <c r="H25" i="25"/>
  <c r="D26" i="25"/>
  <c r="E26" i="25"/>
  <c r="F26" i="25"/>
  <c r="G26" i="25"/>
  <c r="H26" i="25"/>
  <c r="D27" i="25"/>
  <c r="E27" i="25"/>
  <c r="F27" i="25"/>
  <c r="G27" i="25"/>
  <c r="H27" i="25"/>
  <c r="D28" i="25"/>
  <c r="E28" i="25"/>
  <c r="F28" i="25"/>
  <c r="G28" i="25"/>
  <c r="H28" i="25"/>
  <c r="D29" i="25"/>
  <c r="E29" i="25"/>
  <c r="F29" i="25"/>
  <c r="G29" i="25"/>
  <c r="H29" i="25"/>
  <c r="D30" i="25"/>
  <c r="E30" i="25"/>
  <c r="F30" i="25"/>
  <c r="G30" i="25"/>
  <c r="H30" i="25"/>
  <c r="D31" i="25"/>
  <c r="E31" i="25"/>
  <c r="F31" i="25"/>
  <c r="G31" i="25"/>
  <c r="H31" i="25"/>
  <c r="D32" i="25"/>
  <c r="E32" i="25"/>
  <c r="F32" i="25"/>
  <c r="G32" i="25"/>
  <c r="H32" i="25"/>
  <c r="D33" i="25"/>
  <c r="E33" i="25"/>
  <c r="F33" i="25"/>
  <c r="G33" i="25"/>
  <c r="H33" i="25"/>
  <c r="D34" i="25"/>
  <c r="E34" i="25"/>
  <c r="F34" i="25"/>
  <c r="G34" i="25"/>
  <c r="H34" i="25"/>
  <c r="D35" i="25"/>
  <c r="E35" i="25"/>
  <c r="F35" i="25"/>
  <c r="G35" i="25"/>
  <c r="H35" i="25"/>
  <c r="D36" i="25"/>
  <c r="E36" i="25"/>
  <c r="F36" i="25"/>
  <c r="G36" i="25"/>
  <c r="H36" i="25"/>
  <c r="D37" i="25"/>
  <c r="E37" i="25"/>
  <c r="F37" i="25"/>
  <c r="G37" i="25"/>
  <c r="H37" i="25"/>
  <c r="D38" i="25"/>
  <c r="E38" i="25"/>
  <c r="F38" i="25"/>
  <c r="G38" i="25"/>
  <c r="H38" i="25"/>
  <c r="D39" i="25"/>
  <c r="E39" i="25"/>
  <c r="F39" i="25"/>
  <c r="G39" i="25"/>
  <c r="H39" i="25"/>
  <c r="D40" i="25"/>
  <c r="E40" i="25"/>
  <c r="F40" i="25"/>
  <c r="G40" i="25"/>
  <c r="H40" i="25"/>
  <c r="D41" i="25"/>
  <c r="E41" i="25"/>
  <c r="F41" i="25"/>
  <c r="G41" i="25"/>
  <c r="H41" i="25"/>
  <c r="D42" i="25"/>
  <c r="E42" i="25"/>
  <c r="F42" i="25"/>
  <c r="G42" i="25"/>
  <c r="H42" i="25"/>
  <c r="D43" i="25"/>
  <c r="E43" i="25"/>
  <c r="F43" i="25"/>
  <c r="G43" i="25"/>
  <c r="H43" i="25"/>
  <c r="D44" i="25"/>
  <c r="E44" i="25"/>
  <c r="F44" i="25"/>
  <c r="G44" i="25"/>
  <c r="H44" i="25"/>
  <c r="R15" i="22" l="1"/>
  <c r="S15" i="22"/>
  <c r="T15" i="22"/>
  <c r="U15" i="22"/>
  <c r="R16" i="22"/>
  <c r="S16" i="22"/>
  <c r="T16" i="22"/>
  <c r="U16" i="22"/>
  <c r="R17" i="22"/>
  <c r="S17" i="22"/>
  <c r="T17" i="22"/>
  <c r="U17" i="22"/>
  <c r="R18" i="22"/>
  <c r="S18" i="22"/>
  <c r="T18" i="22"/>
  <c r="U18" i="22"/>
  <c r="R19" i="22"/>
  <c r="S19" i="22"/>
  <c r="T19" i="22"/>
  <c r="U19" i="22"/>
  <c r="R20" i="22"/>
  <c r="S20" i="22"/>
  <c r="T20" i="22"/>
  <c r="U20" i="22"/>
  <c r="R21" i="22"/>
  <c r="S21" i="22"/>
  <c r="T21" i="22"/>
  <c r="U21" i="22"/>
  <c r="R22" i="22"/>
  <c r="S22" i="22"/>
  <c r="T22" i="22"/>
  <c r="U22" i="22"/>
  <c r="R23" i="22"/>
  <c r="S23" i="22"/>
  <c r="T23" i="22"/>
  <c r="U23" i="22"/>
  <c r="R24" i="22"/>
  <c r="S24" i="22"/>
  <c r="T24" i="22"/>
  <c r="U24" i="22"/>
  <c r="R25" i="22"/>
  <c r="S25" i="22"/>
  <c r="T25" i="22"/>
  <c r="U25" i="22"/>
  <c r="R26" i="22"/>
  <c r="S26" i="22"/>
  <c r="T26" i="22"/>
  <c r="U26" i="22"/>
  <c r="R27" i="22"/>
  <c r="S27" i="22"/>
  <c r="T27" i="22"/>
  <c r="U27" i="22"/>
  <c r="R28" i="22"/>
  <c r="S28" i="22"/>
  <c r="T28" i="22"/>
  <c r="U28" i="22"/>
  <c r="R29" i="22"/>
  <c r="S29" i="22"/>
  <c r="T29" i="22"/>
  <c r="U29" i="22"/>
  <c r="R30" i="22"/>
  <c r="S30" i="22"/>
  <c r="T30" i="22"/>
  <c r="U30" i="22"/>
  <c r="R31" i="22"/>
  <c r="S31" i="22"/>
  <c r="T31" i="22"/>
  <c r="U31" i="22"/>
  <c r="R32" i="22"/>
  <c r="S32" i="22"/>
  <c r="T32" i="22"/>
  <c r="U32" i="22"/>
  <c r="R33" i="22"/>
  <c r="S33" i="22"/>
  <c r="T33" i="22"/>
  <c r="U33" i="22"/>
  <c r="R34" i="22"/>
  <c r="S34" i="22"/>
  <c r="T34" i="22"/>
  <c r="U34" i="22"/>
  <c r="R35" i="22"/>
  <c r="S35" i="22"/>
  <c r="T35" i="22"/>
  <c r="U35" i="22"/>
  <c r="R36" i="22"/>
  <c r="S36" i="22"/>
  <c r="T36" i="22"/>
  <c r="U36" i="22"/>
  <c r="R37" i="22"/>
  <c r="S37" i="22"/>
  <c r="T37" i="22"/>
  <c r="U37" i="22"/>
  <c r="R38" i="22"/>
  <c r="S38" i="22"/>
  <c r="T38" i="22"/>
  <c r="U38" i="22"/>
  <c r="R39" i="22"/>
  <c r="S39" i="22"/>
  <c r="T39" i="22"/>
  <c r="U39" i="22"/>
  <c r="R40" i="22"/>
  <c r="S40" i="22"/>
  <c r="T40" i="22"/>
  <c r="U40" i="22"/>
  <c r="R41" i="22"/>
  <c r="S41" i="22"/>
  <c r="T41" i="22"/>
  <c r="U41" i="22"/>
  <c r="R42" i="22"/>
  <c r="S42" i="22"/>
  <c r="T42" i="22"/>
  <c r="U42" i="22"/>
  <c r="R43" i="22"/>
  <c r="S43" i="22"/>
  <c r="T43" i="22"/>
  <c r="U43" i="22"/>
  <c r="R44" i="22"/>
  <c r="S44" i="22"/>
  <c r="T44" i="22"/>
  <c r="U44" i="22"/>
  <c r="U14" i="22"/>
  <c r="T14" i="22"/>
  <c r="S14" i="22"/>
  <c r="R14" i="22"/>
  <c r="Z28" i="22" l="1"/>
  <c r="Z29" i="22"/>
  <c r="Z30" i="22"/>
  <c r="Z31" i="22"/>
  <c r="Z32" i="22"/>
  <c r="Z33" i="22"/>
  <c r="Z34" i="22"/>
  <c r="Z35" i="22"/>
  <c r="Z36" i="22"/>
  <c r="Z37" i="22"/>
  <c r="Z38" i="22"/>
  <c r="Z39" i="22"/>
  <c r="Z40" i="22"/>
  <c r="Z41" i="22"/>
  <c r="Z42" i="22"/>
  <c r="Z43" i="22"/>
  <c r="Z44" i="22"/>
  <c r="Z14" i="22"/>
  <c r="Z15" i="22"/>
  <c r="Z16" i="22"/>
  <c r="Z17" i="22"/>
  <c r="Z18" i="22"/>
  <c r="Z19" i="22"/>
  <c r="Z20" i="22"/>
  <c r="Z21" i="22"/>
  <c r="Z22" i="22"/>
  <c r="Z23" i="22"/>
  <c r="Z24" i="22"/>
  <c r="Z25" i="22"/>
  <c r="Z26" i="22"/>
  <c r="Z27" i="22"/>
  <c r="Y24" i="22"/>
  <c r="Y25" i="22"/>
  <c r="Y26" i="22"/>
  <c r="Y27" i="22"/>
  <c r="Y28" i="22"/>
  <c r="Y29" i="22"/>
  <c r="Y30" i="22"/>
  <c r="Y31" i="22"/>
  <c r="Y32" i="22"/>
  <c r="Y33" i="22"/>
  <c r="Y34" i="22"/>
  <c r="Y35" i="22"/>
  <c r="Y36" i="22"/>
  <c r="Y37" i="22"/>
  <c r="Y38" i="22"/>
  <c r="Y39" i="22"/>
  <c r="Y40" i="22"/>
  <c r="Y41" i="22"/>
  <c r="Y42" i="22"/>
  <c r="Y43" i="22"/>
  <c r="Y44" i="22"/>
  <c r="Y14" i="22"/>
  <c r="Y15" i="22"/>
  <c r="Y16" i="22"/>
  <c r="Y17" i="22"/>
  <c r="Y18" i="22"/>
  <c r="Y19" i="22"/>
  <c r="Y20" i="22"/>
  <c r="Y21" i="22"/>
  <c r="Y22" i="22"/>
  <c r="Y23" i="22"/>
  <c r="X25" i="22" l="1"/>
  <c r="X26" i="22"/>
  <c r="X27" i="22"/>
  <c r="X28" i="22"/>
  <c r="X29" i="22"/>
  <c r="X30" i="22"/>
  <c r="X31" i="22"/>
  <c r="X32" i="22"/>
  <c r="X33" i="22"/>
  <c r="X34" i="22"/>
  <c r="X35" i="22"/>
  <c r="X36" i="22"/>
  <c r="X37" i="22"/>
  <c r="X38" i="22"/>
  <c r="X39" i="22"/>
  <c r="X40" i="22"/>
  <c r="X41" i="22"/>
  <c r="X42" i="22"/>
  <c r="X43" i="22"/>
  <c r="X44" i="22"/>
  <c r="X14" i="22"/>
  <c r="X15" i="22"/>
  <c r="X16" i="22"/>
  <c r="X17" i="22"/>
  <c r="X18" i="22"/>
  <c r="X19" i="22"/>
  <c r="X20" i="22"/>
  <c r="X21" i="22"/>
  <c r="X22" i="22"/>
  <c r="X23" i="22"/>
  <c r="X24" i="22"/>
  <c r="W44" i="22" l="1"/>
  <c r="W43" i="22"/>
  <c r="I44" i="25" s="1"/>
  <c r="W42" i="22"/>
  <c r="I43" i="25" s="1"/>
  <c r="W41" i="22"/>
  <c r="I42" i="25" s="1"/>
  <c r="W40" i="22"/>
  <c r="I41" i="25" s="1"/>
  <c r="W39" i="22"/>
  <c r="I40" i="25" s="1"/>
  <c r="W38" i="22"/>
  <c r="I39" i="25" s="1"/>
  <c r="W37" i="22"/>
  <c r="I38" i="25" s="1"/>
  <c r="W36" i="22"/>
  <c r="I37" i="25" s="1"/>
  <c r="W35" i="22"/>
  <c r="I36" i="25" s="1"/>
  <c r="W34" i="22"/>
  <c r="I35" i="25" s="1"/>
  <c r="W33" i="22"/>
  <c r="I34" i="25" s="1"/>
  <c r="W32" i="22"/>
  <c r="I33" i="25" s="1"/>
  <c r="W31" i="22"/>
  <c r="I32" i="25" s="1"/>
  <c r="W30" i="22"/>
  <c r="I31" i="25" s="1"/>
  <c r="W29" i="22"/>
  <c r="I30" i="25" s="1"/>
  <c r="W28" i="22"/>
  <c r="I29" i="25" s="1"/>
  <c r="W27" i="22"/>
  <c r="W26" i="22"/>
  <c r="W25" i="22"/>
  <c r="W24" i="22"/>
  <c r="W23" i="22"/>
  <c r="W22" i="22"/>
  <c r="W21" i="22"/>
  <c r="W20" i="22"/>
  <c r="W19" i="22"/>
  <c r="W18" i="22"/>
  <c r="W17" i="22"/>
  <c r="W16" i="22"/>
  <c r="W15" i="22"/>
  <c r="W14" i="22"/>
  <c r="I28" i="25" l="1"/>
  <c r="J28" i="26"/>
  <c r="I27" i="25"/>
  <c r="J27" i="26"/>
  <c r="I26" i="25"/>
  <c r="J26" i="26"/>
  <c r="I25" i="25"/>
  <c r="J25" i="26"/>
  <c r="I24" i="25"/>
  <c r="J24" i="26"/>
  <c r="I23" i="25"/>
  <c r="J23" i="26"/>
  <c r="I22" i="25"/>
  <c r="J22" i="26"/>
  <c r="I21" i="25"/>
  <c r="J21" i="26"/>
  <c r="I20" i="25"/>
  <c r="J20" i="26"/>
  <c r="I19" i="25"/>
  <c r="J19" i="26"/>
  <c r="I18" i="25"/>
  <c r="J18" i="26"/>
  <c r="I17" i="25"/>
  <c r="J17" i="26"/>
  <c r="I16" i="25"/>
  <c r="J16" i="26"/>
  <c r="G74" i="22"/>
  <c r="G15" i="26" l="1"/>
  <c r="D63" i="26"/>
  <c r="I15" i="26"/>
  <c r="H15" i="26"/>
  <c r="F15" i="26"/>
  <c r="E15" i="26"/>
  <c r="D15" i="26"/>
  <c r="U11" i="26"/>
  <c r="U10" i="26"/>
  <c r="F10" i="26"/>
  <c r="U9" i="26"/>
  <c r="U8" i="26"/>
  <c r="F8" i="26"/>
  <c r="U7" i="26"/>
  <c r="G93" i="22" l="1"/>
  <c r="G92" i="22"/>
  <c r="G94" i="22"/>
  <c r="G95" i="22"/>
  <c r="G96" i="22"/>
  <c r="G97" i="22"/>
  <c r="G98" i="22"/>
  <c r="G99" i="22"/>
  <c r="G104" i="22"/>
  <c r="G105" i="22"/>
  <c r="G106" i="22"/>
  <c r="G107" i="22"/>
  <c r="G108" i="22"/>
  <c r="G109" i="22"/>
  <c r="G110" i="22"/>
  <c r="G111" i="22"/>
  <c r="G112" i="22"/>
  <c r="G113" i="22"/>
  <c r="G114" i="22"/>
  <c r="G115" i="22"/>
  <c r="G116" i="22"/>
  <c r="G117" i="22"/>
  <c r="G118" i="22"/>
  <c r="G119" i="22"/>
  <c r="G120" i="22"/>
  <c r="G121" i="22"/>
  <c r="G122" i="22"/>
  <c r="G123" i="22"/>
  <c r="G124" i="22"/>
  <c r="E45" i="22"/>
  <c r="G51" i="22" s="1"/>
  <c r="F52" i="22"/>
  <c r="G53" i="22"/>
  <c r="G54" i="22"/>
  <c r="G55" i="22"/>
  <c r="G56" i="22"/>
  <c r="G57" i="22"/>
  <c r="G58" i="22"/>
  <c r="G59" i="22"/>
  <c r="G60" i="22"/>
  <c r="G63" i="22"/>
  <c r="G64" i="22"/>
  <c r="G65" i="22"/>
  <c r="G77" i="22"/>
  <c r="G78" i="22"/>
  <c r="G79" i="22"/>
  <c r="G69" i="22"/>
  <c r="G70" i="22"/>
  <c r="G71" i="22"/>
  <c r="G72" i="22"/>
  <c r="G73" i="22"/>
  <c r="G75" i="22"/>
  <c r="G76" i="22"/>
  <c r="G80" i="22"/>
  <c r="H85" i="22"/>
  <c r="I84" i="22" s="1"/>
  <c r="H86" i="22"/>
  <c r="I85" i="22" s="1"/>
  <c r="H87" i="22"/>
  <c r="I86" i="22" s="1"/>
  <c r="H84" i="22"/>
  <c r="I83" i="22" s="1"/>
  <c r="E171" i="22"/>
  <c r="E222" i="22"/>
  <c r="G129" i="22"/>
  <c r="G130" i="22"/>
  <c r="G131" i="22"/>
  <c r="G132" i="22"/>
  <c r="G133" i="22"/>
  <c r="G134" i="22"/>
  <c r="G135" i="22"/>
  <c r="G136" i="22"/>
  <c r="G137" i="22"/>
  <c r="G138" i="22"/>
  <c r="G139" i="22"/>
  <c r="G140" i="22"/>
  <c r="G141" i="22"/>
  <c r="G142" i="22"/>
  <c r="G143" i="22"/>
  <c r="G164" i="22"/>
  <c r="G165" i="22"/>
  <c r="G166" i="22"/>
  <c r="G167" i="22"/>
  <c r="G168" i="22"/>
  <c r="N45" i="22"/>
  <c r="O45" i="22"/>
  <c r="P45" i="22"/>
  <c r="K45" i="22"/>
  <c r="L45" i="22"/>
  <c r="M45" i="22"/>
  <c r="G150" i="22"/>
  <c r="G151" i="22"/>
  <c r="G152" i="22"/>
  <c r="G153" i="22"/>
  <c r="G154" i="22"/>
  <c r="G155" i="22"/>
  <c r="G156" i="22"/>
  <c r="G157" i="22"/>
  <c r="G158" i="22"/>
  <c r="G159" i="22"/>
  <c r="T11" i="25"/>
  <c r="T10" i="25"/>
  <c r="T9" i="25"/>
  <c r="T8" i="25"/>
  <c r="T7" i="25"/>
  <c r="F10" i="25"/>
  <c r="F8" i="25"/>
  <c r="F222" i="22"/>
  <c r="F233" i="22" s="1"/>
  <c r="G222" i="22"/>
  <c r="G233" i="22" s="1"/>
  <c r="H222" i="22"/>
  <c r="H233" i="22" s="1"/>
  <c r="D63" i="25"/>
  <c r="H15" i="25"/>
  <c r="G15" i="25"/>
  <c r="F15" i="25"/>
  <c r="E15" i="25"/>
  <c r="D15" i="25"/>
  <c r="F9" i="26"/>
  <c r="AG17" i="23"/>
  <c r="X42" i="23"/>
  <c r="G136" i="23"/>
  <c r="H136" i="23"/>
  <c r="E209" i="23"/>
  <c r="G209" i="23" s="1"/>
  <c r="F209" i="23"/>
  <c r="I209" i="23" s="1"/>
  <c r="E200" i="23"/>
  <c r="K43" i="23"/>
  <c r="L43" i="23"/>
  <c r="M43" i="23"/>
  <c r="E138" i="23"/>
  <c r="E132" i="23"/>
  <c r="G131" i="23"/>
  <c r="G130" i="23"/>
  <c r="G129" i="23"/>
  <c r="G128" i="23"/>
  <c r="G127" i="23"/>
  <c r="G126" i="23"/>
  <c r="G125" i="23"/>
  <c r="G124" i="23"/>
  <c r="G123" i="23"/>
  <c r="G132" i="23" s="1"/>
  <c r="G122" i="23"/>
  <c r="I117" i="23"/>
  <c r="M117" i="23"/>
  <c r="I116" i="23"/>
  <c r="M116" i="23"/>
  <c r="H115" i="23"/>
  <c r="I115" i="23"/>
  <c r="H114" i="23"/>
  <c r="H113" i="23"/>
  <c r="H112" i="23"/>
  <c r="H111" i="23"/>
  <c r="H110" i="23"/>
  <c r="H109" i="23"/>
  <c r="H108" i="23"/>
  <c r="H107" i="23"/>
  <c r="I107" i="23"/>
  <c r="L107" i="23" s="1"/>
  <c r="M107" i="23"/>
  <c r="J107" i="23"/>
  <c r="H106" i="23"/>
  <c r="H105" i="23"/>
  <c r="I105" i="23"/>
  <c r="J105" i="23" s="1"/>
  <c r="H104" i="23"/>
  <c r="H103" i="23"/>
  <c r="H102" i="23"/>
  <c r="H101" i="23"/>
  <c r="H100" i="23"/>
  <c r="H99" i="23"/>
  <c r="I99" i="23"/>
  <c r="L99" i="23" s="1"/>
  <c r="M99" i="23"/>
  <c r="J99" i="23"/>
  <c r="H98" i="23"/>
  <c r="H97" i="23"/>
  <c r="I97" i="23"/>
  <c r="H96" i="23"/>
  <c r="H95" i="23"/>
  <c r="I95" i="23"/>
  <c r="J95" i="23"/>
  <c r="L95" i="23"/>
  <c r="H94" i="23"/>
  <c r="H93" i="23"/>
  <c r="H92" i="23"/>
  <c r="H91" i="23"/>
  <c r="I91" i="23"/>
  <c r="M91" i="23"/>
  <c r="H90" i="23"/>
  <c r="J90" i="23" s="1"/>
  <c r="H89" i="23"/>
  <c r="H83" i="23"/>
  <c r="I83" i="23"/>
  <c r="H82" i="23"/>
  <c r="I82" i="23"/>
  <c r="H81" i="23"/>
  <c r="H84" i="23" s="1"/>
  <c r="I81" i="23"/>
  <c r="H80" i="23"/>
  <c r="G76" i="23"/>
  <c r="G75" i="23"/>
  <c r="F74" i="23"/>
  <c r="G74" i="23" s="1"/>
  <c r="G73" i="23"/>
  <c r="G72" i="23"/>
  <c r="G71" i="23"/>
  <c r="G70" i="23"/>
  <c r="G69" i="23"/>
  <c r="G65" i="23"/>
  <c r="G64" i="23"/>
  <c r="G63" i="23"/>
  <c r="G60" i="23"/>
  <c r="G59" i="23"/>
  <c r="G58" i="23"/>
  <c r="G57" i="23"/>
  <c r="G56" i="23"/>
  <c r="G55" i="23"/>
  <c r="G54" i="23"/>
  <c r="G53" i="23"/>
  <c r="G52" i="23"/>
  <c r="G51" i="23"/>
  <c r="P43" i="23"/>
  <c r="O43" i="23"/>
  <c r="N43" i="23"/>
  <c r="P44" i="23"/>
  <c r="E195" i="23" s="1"/>
  <c r="E43" i="23"/>
  <c r="G49" i="23"/>
  <c r="G50" i="23"/>
  <c r="X39" i="23"/>
  <c r="Z39" i="23"/>
  <c r="X19" i="23"/>
  <c r="AB19" i="23"/>
  <c r="R19" i="23"/>
  <c r="V19" i="23"/>
  <c r="X18" i="23"/>
  <c r="Y18" i="23"/>
  <c r="R18" i="23"/>
  <c r="U18" i="23"/>
  <c r="X16" i="23"/>
  <c r="Y16" i="23"/>
  <c r="R16" i="23"/>
  <c r="V16" i="23" s="1"/>
  <c r="U16" i="23"/>
  <c r="X15" i="23"/>
  <c r="AB15" i="23"/>
  <c r="R15" i="23"/>
  <c r="S15" i="23" s="1"/>
  <c r="U15" i="23"/>
  <c r="R27" i="23"/>
  <c r="V27" i="23"/>
  <c r="Z16" i="23"/>
  <c r="AA16" i="23"/>
  <c r="Y19" i="23"/>
  <c r="X17" i="23"/>
  <c r="Z18" i="23"/>
  <c r="R21" i="23"/>
  <c r="Y39" i="23"/>
  <c r="R42" i="23"/>
  <c r="Y15" i="23"/>
  <c r="AA18" i="23"/>
  <c r="U19" i="23"/>
  <c r="R29" i="23"/>
  <c r="X21" i="23"/>
  <c r="R24" i="23"/>
  <c r="R32" i="23"/>
  <c r="U32" i="23" s="1"/>
  <c r="AB16" i="23"/>
  <c r="S18" i="23"/>
  <c r="AB18" i="23"/>
  <c r="Z19" i="23"/>
  <c r="F195" i="23"/>
  <c r="M97" i="23"/>
  <c r="I104" i="23"/>
  <c r="L104" i="23" s="1"/>
  <c r="J104" i="23"/>
  <c r="M104" i="23"/>
  <c r="K104" i="23"/>
  <c r="V18" i="23"/>
  <c r="I80" i="23"/>
  <c r="I84" i="23" s="1"/>
  <c r="Z15" i="23"/>
  <c r="S16" i="23"/>
  <c r="V15" i="23"/>
  <c r="AA15" i="23"/>
  <c r="T16" i="23"/>
  <c r="T18" i="23"/>
  <c r="AA19" i="23"/>
  <c r="I96" i="23"/>
  <c r="K96" i="23"/>
  <c r="M105" i="23"/>
  <c r="I112" i="23"/>
  <c r="J112" i="23"/>
  <c r="M112" i="23"/>
  <c r="L112" i="23"/>
  <c r="K112" i="23"/>
  <c r="E199" i="23"/>
  <c r="E208" i="23"/>
  <c r="F208" i="23" s="1"/>
  <c r="G208" i="23" s="1"/>
  <c r="H208" i="23" s="1"/>
  <c r="I208" i="23"/>
  <c r="I94" i="23"/>
  <c r="J94" i="23" s="1"/>
  <c r="K94" i="23"/>
  <c r="I92" i="23"/>
  <c r="H200" i="23"/>
  <c r="G200" i="23"/>
  <c r="I90" i="23"/>
  <c r="L94" i="23"/>
  <c r="L97" i="23"/>
  <c r="I98" i="23"/>
  <c r="L105" i="23"/>
  <c r="I106" i="23"/>
  <c r="F200" i="23"/>
  <c r="I200" i="23" s="1"/>
  <c r="E145" i="23"/>
  <c r="K95" i="23"/>
  <c r="K97" i="23"/>
  <c r="K99" i="23"/>
  <c r="K105" i="23"/>
  <c r="K107" i="23"/>
  <c r="T32" i="23"/>
  <c r="Y21" i="23"/>
  <c r="H199" i="23"/>
  <c r="L98" i="23"/>
  <c r="K98" i="23"/>
  <c r="M98" i="23"/>
  <c r="L90" i="23"/>
  <c r="L106" i="23"/>
  <c r="M94" i="23"/>
  <c r="J98" i="23"/>
  <c r="E160" i="22"/>
  <c r="J86" i="14"/>
  <c r="J84" i="14"/>
  <c r="J82" i="14"/>
  <c r="J66" i="14"/>
  <c r="J65" i="14"/>
  <c r="J154" i="14" s="1"/>
  <c r="J63" i="14"/>
  <c r="H21" i="14"/>
  <c r="M10" i="14"/>
  <c r="N10" i="14" s="1"/>
  <c r="N18" i="14"/>
  <c r="L18" i="14"/>
  <c r="O18" i="14"/>
  <c r="N16" i="14"/>
  <c r="O16" i="14" s="1"/>
  <c r="L16" i="14"/>
  <c r="J18" i="14"/>
  <c r="P18" i="14" s="1"/>
  <c r="J16" i="14"/>
  <c r="P16" i="14"/>
  <c r="I181" i="14"/>
  <c r="I182" i="14"/>
  <c r="I183" i="14"/>
  <c r="I137" i="14"/>
  <c r="I136" i="14"/>
  <c r="I184" i="14"/>
  <c r="I191" i="14"/>
  <c r="I187" i="14"/>
  <c r="I242" i="14"/>
  <c r="I250" i="14"/>
  <c r="I251" i="14"/>
  <c r="I252" i="14"/>
  <c r="I253" i="14"/>
  <c r="I254" i="14"/>
  <c r="I189" i="14"/>
  <c r="I188" i="14"/>
  <c r="I185" i="14"/>
  <c r="I180" i="14"/>
  <c r="I162" i="14"/>
  <c r="I172" i="14"/>
  <c r="I79" i="14"/>
  <c r="I76" i="14"/>
  <c r="I77" i="14"/>
  <c r="I54" i="14"/>
  <c r="I98" i="14"/>
  <c r="I178" i="14"/>
  <c r="I166" i="14"/>
  <c r="I190" i="14"/>
  <c r="I64" i="14"/>
  <c r="I202" i="14"/>
  <c r="I186" i="14"/>
  <c r="I36" i="14"/>
  <c r="I51" i="14"/>
  <c r="I195" i="14"/>
  <c r="I74" i="14"/>
  <c r="I75" i="14"/>
  <c r="I78" i="14"/>
  <c r="I82" i="14"/>
  <c r="I80" i="14"/>
  <c r="I193" i="14"/>
  <c r="I192" i="14"/>
  <c r="I50" i="14"/>
  <c r="N14" i="14"/>
  <c r="L14" i="14"/>
  <c r="O14" i="14"/>
  <c r="J14" i="14"/>
  <c r="P14" i="14"/>
  <c r="I68" i="14"/>
  <c r="I111" i="14"/>
  <c r="I94" i="14"/>
  <c r="I60" i="14"/>
  <c r="I59" i="14"/>
  <c r="I154" i="14" s="1"/>
  <c r="I61" i="14"/>
  <c r="I129" i="14"/>
  <c r="I128" i="14"/>
  <c r="I120" i="14"/>
  <c r="I114" i="14"/>
  <c r="I113" i="14"/>
  <c r="I143" i="14"/>
  <c r="I127" i="14"/>
  <c r="I126" i="14"/>
  <c r="I119" i="14"/>
  <c r="I124" i="14"/>
  <c r="I123" i="14"/>
  <c r="I122" i="14"/>
  <c r="I121" i="14"/>
  <c r="I153" i="14"/>
  <c r="I151" i="14"/>
  <c r="I149" i="14"/>
  <c r="I148" i="14"/>
  <c r="I147" i="14"/>
  <c r="I146" i="14"/>
  <c r="I145" i="14"/>
  <c r="I142" i="14"/>
  <c r="I141" i="14"/>
  <c r="I140" i="14"/>
  <c r="I139" i="14"/>
  <c r="I138" i="14"/>
  <c r="I135" i="14"/>
  <c r="I134" i="14"/>
  <c r="I132" i="14"/>
  <c r="I131" i="14"/>
  <c r="I130" i="14"/>
  <c r="I117" i="14"/>
  <c r="I116" i="14"/>
  <c r="I115" i="14"/>
  <c r="I109" i="14"/>
  <c r="I108" i="14"/>
  <c r="I106" i="14"/>
  <c r="I105" i="14"/>
  <c r="I102" i="14"/>
  <c r="I101" i="14"/>
  <c r="I110" i="14"/>
  <c r="I107" i="14"/>
  <c r="I104" i="14"/>
  <c r="I103" i="14"/>
  <c r="I100" i="14"/>
  <c r="I99" i="14"/>
  <c r="I85" i="14"/>
  <c r="I96" i="14"/>
  <c r="I93" i="14"/>
  <c r="I92" i="14"/>
  <c r="I91" i="14"/>
  <c r="I90" i="14"/>
  <c r="I89" i="14"/>
  <c r="I88" i="14"/>
  <c r="I87" i="14"/>
  <c r="I86" i="14"/>
  <c r="I73" i="14"/>
  <c r="I84" i="14"/>
  <c r="I72" i="14"/>
  <c r="I71" i="14"/>
  <c r="I67" i="14"/>
  <c r="I70" i="14"/>
  <c r="I69" i="14"/>
  <c r="I66" i="14"/>
  <c r="I65" i="14"/>
  <c r="I63" i="14"/>
  <c r="I83" i="14"/>
  <c r="I95" i="14"/>
  <c r="I179" i="14"/>
  <c r="I152" i="14"/>
  <c r="I194" i="14"/>
  <c r="I197" i="14"/>
  <c r="N12" i="14"/>
  <c r="O12" i="14" s="1"/>
  <c r="L12" i="14"/>
  <c r="L10" i="14"/>
  <c r="I165" i="14"/>
  <c r="I167" i="14"/>
  <c r="I46" i="14"/>
  <c r="I47" i="14"/>
  <c r="I45" i="14"/>
  <c r="I27" i="14"/>
  <c r="J12" i="14"/>
  <c r="J10" i="14"/>
  <c r="P10" i="14"/>
  <c r="I168" i="14"/>
  <c r="I170" i="14"/>
  <c r="I171" i="14"/>
  <c r="I173" i="14"/>
  <c r="I26" i="14"/>
  <c r="I29" i="14"/>
  <c r="I30" i="14"/>
  <c r="I31" i="14"/>
  <c r="I32" i="14"/>
  <c r="I33" i="14"/>
  <c r="I34" i="14"/>
  <c r="I35" i="14"/>
  <c r="I37" i="14"/>
  <c r="I201" i="14"/>
  <c r="I203" i="14" s="1"/>
  <c r="I43" i="14"/>
  <c r="I44" i="14"/>
  <c r="I48" i="14"/>
  <c r="I49" i="14"/>
  <c r="I52" i="14"/>
  <c r="I53" i="14"/>
  <c r="C21" i="14"/>
  <c r="I219" i="14"/>
  <c r="O10" i="14"/>
  <c r="I174" i="14"/>
  <c r="I169" i="14"/>
  <c r="I164" i="14"/>
  <c r="I163" i="14"/>
  <c r="I161" i="14"/>
  <c r="I160" i="14"/>
  <c r="I159" i="14"/>
  <c r="I158" i="14"/>
  <c r="I157" i="14"/>
  <c r="G203" i="14"/>
  <c r="I241" i="14"/>
  <c r="J8" i="14"/>
  <c r="P8" i="14" s="1"/>
  <c r="L8" i="14"/>
  <c r="N8" i="14"/>
  <c r="O8" i="14"/>
  <c r="I24" i="14"/>
  <c r="I25" i="14" s="1"/>
  <c r="I38" i="14" s="1"/>
  <c r="I39" i="14" s="1"/>
  <c r="I40" i="14" s="1"/>
  <c r="I234" i="14" s="1"/>
  <c r="I28" i="14"/>
  <c r="N21" i="14"/>
  <c r="D7" i="14"/>
  <c r="B8" i="14" s="1"/>
  <c r="D8" i="14" s="1"/>
  <c r="B9" i="14"/>
  <c r="D9" i="14"/>
  <c r="B10" i="14" s="1"/>
  <c r="D10" i="14" s="1"/>
  <c r="B11" i="14"/>
  <c r="D11" i="14" s="1"/>
  <c r="B12" i="14" s="1"/>
  <c r="D12" i="14" s="1"/>
  <c r="B13" i="14" s="1"/>
  <c r="D13" i="14" s="1"/>
  <c r="B14" i="14" s="1"/>
  <c r="D14" i="14" s="1"/>
  <c r="B15" i="14"/>
  <c r="D15" i="14" s="1"/>
  <c r="B16" i="14" s="1"/>
  <c r="D16" i="14" s="1"/>
  <c r="B17" i="14" s="1"/>
  <c r="D17" i="14" s="1"/>
  <c r="B18" i="14" s="1"/>
  <c r="D18" i="14" s="1"/>
  <c r="B19" i="14"/>
  <c r="D19" i="14" s="1"/>
  <c r="L21" i="14"/>
  <c r="I232" i="14" s="1"/>
  <c r="K201" i="14"/>
  <c r="M201" i="14" s="1"/>
  <c r="M202" i="14" s="1"/>
  <c r="I221" i="14"/>
  <c r="I198" i="14"/>
  <c r="I175" i="14"/>
  <c r="I237" i="14" s="1"/>
  <c r="J21" i="14"/>
  <c r="I233" i="14" s="1"/>
  <c r="K202" i="14"/>
  <c r="I207" i="14"/>
  <c r="P12" i="14"/>
  <c r="I240" i="14" l="1"/>
  <c r="I213" i="14"/>
  <c r="I236" i="14"/>
  <c r="I211" i="14"/>
  <c r="J92" i="23"/>
  <c r="L92" i="23"/>
  <c r="G195" i="23"/>
  <c r="I209" i="14"/>
  <c r="I206" i="14"/>
  <c r="I208" i="14" s="1"/>
  <c r="J207" i="14"/>
  <c r="V24" i="23"/>
  <c r="T24" i="23"/>
  <c r="U24" i="23"/>
  <c r="T29" i="23"/>
  <c r="S29" i="23"/>
  <c r="U21" i="23"/>
  <c r="V21" i="23"/>
  <c r="T21" i="23"/>
  <c r="L89" i="23"/>
  <c r="I108" i="23"/>
  <c r="K108" i="23" s="1"/>
  <c r="L108" i="23"/>
  <c r="J111" i="23"/>
  <c r="K89" i="23"/>
  <c r="Z21" i="23"/>
  <c r="AB21" i="23"/>
  <c r="T27" i="23"/>
  <c r="S27" i="23"/>
  <c r="U27" i="23"/>
  <c r="I89" i="23"/>
  <c r="I102" i="23"/>
  <c r="J102" i="23" s="1"/>
  <c r="K102" i="23"/>
  <c r="L102" i="23"/>
  <c r="I109" i="23"/>
  <c r="J109" i="23" s="1"/>
  <c r="K109" i="23"/>
  <c r="M109" i="23"/>
  <c r="L109" i="23"/>
  <c r="E154" i="23"/>
  <c r="S42" i="23"/>
  <c r="V42" i="23"/>
  <c r="T42" i="23"/>
  <c r="Z17" i="23"/>
  <c r="AB17" i="23"/>
  <c r="Y17" i="23"/>
  <c r="L115" i="23"/>
  <c r="M115" i="23"/>
  <c r="J115" i="23"/>
  <c r="K115" i="23"/>
  <c r="AA42" i="23"/>
  <c r="Z42" i="23"/>
  <c r="U29" i="23"/>
  <c r="AB39" i="23"/>
  <c r="AA39" i="23"/>
  <c r="X31" i="23"/>
  <c r="R25" i="23"/>
  <c r="R17" i="23"/>
  <c r="X22" i="23"/>
  <c r="X33" i="23"/>
  <c r="X40" i="23"/>
  <c r="R26" i="23"/>
  <c r="X35" i="23"/>
  <c r="R38" i="23"/>
  <c r="X41" i="23"/>
  <c r="R22" i="23"/>
  <c r="R31" i="23"/>
  <c r="X36" i="23"/>
  <c r="R33" i="23"/>
  <c r="R34" i="23"/>
  <c r="X27" i="23"/>
  <c r="X32" i="23"/>
  <c r="R36" i="23"/>
  <c r="X25" i="23"/>
  <c r="R37" i="23"/>
  <c r="X29" i="23"/>
  <c r="R40" i="23"/>
  <c r="X24" i="23"/>
  <c r="X37" i="23"/>
  <c r="R23" i="23"/>
  <c r="R41" i="23"/>
  <c r="X30" i="23"/>
  <c r="R20" i="23"/>
  <c r="R28" i="23"/>
  <c r="X23" i="23"/>
  <c r="I55" i="14"/>
  <c r="AA21" i="23"/>
  <c r="V32" i="23"/>
  <c r="G199" i="23"/>
  <c r="F199" i="23"/>
  <c r="I199" i="23" s="1"/>
  <c r="E144" i="23" s="1"/>
  <c r="L96" i="23"/>
  <c r="J96" i="23"/>
  <c r="M96" i="23"/>
  <c r="S24" i="23"/>
  <c r="X20" i="23"/>
  <c r="X34" i="23"/>
  <c r="R35" i="23"/>
  <c r="X26" i="23"/>
  <c r="Y42" i="23"/>
  <c r="X38" i="23"/>
  <c r="G61" i="23"/>
  <c r="G62" i="23" s="1"/>
  <c r="G66" i="23" s="1"/>
  <c r="G77" i="23"/>
  <c r="H77" i="23" s="1"/>
  <c r="K110" i="23"/>
  <c r="M110" i="23"/>
  <c r="I113" i="23"/>
  <c r="L113" i="23" s="1"/>
  <c r="M113" i="23"/>
  <c r="K113" i="23"/>
  <c r="M44" i="23"/>
  <c r="E196" i="23" s="1"/>
  <c r="F196" i="23" s="1"/>
  <c r="G196" i="23" s="1"/>
  <c r="H196" i="23" s="1"/>
  <c r="I196" i="23" s="1"/>
  <c r="E141" i="23" s="1"/>
  <c r="I212" i="14"/>
  <c r="I255" i="14"/>
  <c r="S32" i="23"/>
  <c r="S21" i="23"/>
  <c r="M90" i="23"/>
  <c r="K90" i="23"/>
  <c r="I100" i="23"/>
  <c r="I110" i="23"/>
  <c r="J110" i="23" s="1"/>
  <c r="U42" i="23"/>
  <c r="H209" i="23"/>
  <c r="M89" i="23"/>
  <c r="V29" i="23"/>
  <c r="R39" i="23"/>
  <c r="X28" i="23"/>
  <c r="R30" i="23"/>
  <c r="AA17" i="23"/>
  <c r="AB42" i="23"/>
  <c r="H118" i="23"/>
  <c r="E198" i="23" s="1"/>
  <c r="F198" i="23" s="1"/>
  <c r="G198" i="23" s="1"/>
  <c r="H198" i="23" s="1"/>
  <c r="I198" i="23" s="1"/>
  <c r="E143" i="23" s="1"/>
  <c r="L91" i="23"/>
  <c r="J91" i="23"/>
  <c r="K91" i="23"/>
  <c r="M103" i="23"/>
  <c r="I103" i="23"/>
  <c r="L103" i="23" s="1"/>
  <c r="K103" i="23"/>
  <c r="J103" i="23"/>
  <c r="J106" i="23"/>
  <c r="M106" i="23"/>
  <c r="K106" i="23"/>
  <c r="I111" i="23"/>
  <c r="L111" i="23" s="1"/>
  <c r="I114" i="23"/>
  <c r="T15" i="23"/>
  <c r="T19" i="23"/>
  <c r="S19" i="23"/>
  <c r="I93" i="23"/>
  <c r="L93" i="23"/>
  <c r="K93" i="23"/>
  <c r="J97" i="23"/>
  <c r="E153" i="23"/>
  <c r="M92" i="23"/>
  <c r="K92" i="23"/>
  <c r="M95" i="23"/>
  <c r="I101" i="23"/>
  <c r="K101" i="23"/>
  <c r="G169" i="22"/>
  <c r="H169" i="22" s="1"/>
  <c r="I15" i="25"/>
  <c r="H88" i="22"/>
  <c r="P46" i="22"/>
  <c r="E224" i="22" s="1"/>
  <c r="F224" i="22" s="1"/>
  <c r="G224" i="22" s="1"/>
  <c r="H224" i="22" s="1"/>
  <c r="I87" i="22"/>
  <c r="J50" i="26" s="1"/>
  <c r="Z45" i="22"/>
  <c r="H235" i="22" s="1"/>
  <c r="X45" i="22"/>
  <c r="F235" i="22" s="1"/>
  <c r="T45" i="22"/>
  <c r="G236" i="22" s="1"/>
  <c r="Y45" i="22"/>
  <c r="G235" i="22" s="1"/>
  <c r="G160" i="22"/>
  <c r="E229" i="22" s="1"/>
  <c r="F229" i="22" s="1"/>
  <c r="H229" i="22" s="1"/>
  <c r="G146" i="22"/>
  <c r="E228" i="22" s="1"/>
  <c r="G81" i="22"/>
  <c r="H81" i="22" s="1"/>
  <c r="J49" i="26" s="1"/>
  <c r="G100" i="22"/>
  <c r="H100" i="22" s="1"/>
  <c r="G52" i="22"/>
  <c r="G61" i="22" s="1"/>
  <c r="G62" i="22" s="1"/>
  <c r="G66" i="22" s="1"/>
  <c r="H66" i="22" s="1"/>
  <c r="F9" i="25"/>
  <c r="J15" i="26"/>
  <c r="G125" i="22"/>
  <c r="E233" i="22"/>
  <c r="S45" i="22"/>
  <c r="F236" i="22" s="1"/>
  <c r="M46" i="22"/>
  <c r="E225" i="22" s="1"/>
  <c r="E188" i="22"/>
  <c r="R45" i="22"/>
  <c r="E236" i="22" s="1"/>
  <c r="E184" i="22" s="1"/>
  <c r="U45" i="22"/>
  <c r="H236" i="22" s="1"/>
  <c r="W45" i="22"/>
  <c r="E235" i="22" s="1"/>
  <c r="E227" i="22" l="1"/>
  <c r="M114" i="23"/>
  <c r="J114" i="23"/>
  <c r="S30" i="23"/>
  <c r="U30" i="23"/>
  <c r="V30" i="23"/>
  <c r="T30" i="23"/>
  <c r="L100" i="23"/>
  <c r="L118" i="23" s="1"/>
  <c r="H207" i="23" s="1"/>
  <c r="J100" i="23"/>
  <c r="AB26" i="23"/>
  <c r="Z26" i="23"/>
  <c r="AA26" i="23"/>
  <c r="Y26" i="23"/>
  <c r="S28" i="23"/>
  <c r="V28" i="23"/>
  <c r="U28" i="23"/>
  <c r="T28" i="23"/>
  <c r="T23" i="23"/>
  <c r="U23" i="23"/>
  <c r="S23" i="23"/>
  <c r="V23" i="23"/>
  <c r="AB29" i="23"/>
  <c r="Z29" i="23"/>
  <c r="Y29" i="23"/>
  <c r="AA29" i="23"/>
  <c r="Z32" i="23"/>
  <c r="AB32" i="23"/>
  <c r="AA32" i="23"/>
  <c r="Y32" i="23"/>
  <c r="Z36" i="23"/>
  <c r="Y36" i="23"/>
  <c r="AA36" i="23"/>
  <c r="AB36" i="23"/>
  <c r="V38" i="23"/>
  <c r="S38" i="23"/>
  <c r="T38" i="23"/>
  <c r="U38" i="23"/>
  <c r="AA33" i="23"/>
  <c r="AB33" i="23"/>
  <c r="Y33" i="23"/>
  <c r="Z33" i="23"/>
  <c r="Z31" i="23"/>
  <c r="AA31" i="23"/>
  <c r="AB31" i="23"/>
  <c r="Y31" i="23"/>
  <c r="H195" i="23"/>
  <c r="M101" i="23"/>
  <c r="J101" i="23"/>
  <c r="L101" i="23"/>
  <c r="Z28" i="23"/>
  <c r="Y28" i="23"/>
  <c r="AA28" i="23"/>
  <c r="AB28" i="23"/>
  <c r="H66" i="23"/>
  <c r="E206" i="23" s="1"/>
  <c r="E197" i="23"/>
  <c r="U35" i="23"/>
  <c r="T35" i="23"/>
  <c r="S35" i="23"/>
  <c r="V35" i="23"/>
  <c r="S20" i="23"/>
  <c r="V20" i="23"/>
  <c r="U20" i="23"/>
  <c r="T20" i="23"/>
  <c r="AA37" i="23"/>
  <c r="Z37" i="23"/>
  <c r="AB37" i="23"/>
  <c r="Y37" i="23"/>
  <c r="T37" i="23"/>
  <c r="V37" i="23"/>
  <c r="U37" i="23"/>
  <c r="S37" i="23"/>
  <c r="Z27" i="23"/>
  <c r="Y27" i="23"/>
  <c r="AB27" i="23"/>
  <c r="AA27" i="23"/>
  <c r="S31" i="23"/>
  <c r="U31" i="23"/>
  <c r="T31" i="23"/>
  <c r="V31" i="23"/>
  <c r="AA35" i="23"/>
  <c r="Z35" i="23"/>
  <c r="AB35" i="23"/>
  <c r="Y35" i="23"/>
  <c r="AA22" i="23"/>
  <c r="Y22" i="23"/>
  <c r="Y43" i="23" s="1"/>
  <c r="F204" i="23" s="1"/>
  <c r="AB22" i="23"/>
  <c r="Z22" i="23"/>
  <c r="M111" i="23"/>
  <c r="M93" i="23"/>
  <c r="M118" i="23" s="1"/>
  <c r="I207" i="23" s="1"/>
  <c r="E152" i="23" s="1"/>
  <c r="J93" i="23"/>
  <c r="K114" i="23"/>
  <c r="S39" i="23"/>
  <c r="U39" i="23"/>
  <c r="V39" i="23"/>
  <c r="T39" i="23"/>
  <c r="X43" i="23"/>
  <c r="E204" i="23" s="1"/>
  <c r="M100" i="23"/>
  <c r="AB38" i="23"/>
  <c r="Y38" i="23"/>
  <c r="Z38" i="23"/>
  <c r="AA38" i="23"/>
  <c r="AB34" i="23"/>
  <c r="AA34" i="23"/>
  <c r="Z34" i="23"/>
  <c r="Y34" i="23"/>
  <c r="I210" i="14"/>
  <c r="I235" i="14"/>
  <c r="AA30" i="23"/>
  <c r="Z30" i="23"/>
  <c r="AB30" i="23"/>
  <c r="Y30" i="23"/>
  <c r="AB24" i="23"/>
  <c r="AA24" i="23"/>
  <c r="Z24" i="23"/>
  <c r="Y24" i="23"/>
  <c r="Y25" i="23"/>
  <c r="AB25" i="23"/>
  <c r="Z25" i="23"/>
  <c r="AA25" i="23"/>
  <c r="V34" i="23"/>
  <c r="U34" i="23"/>
  <c r="S34" i="23"/>
  <c r="T34" i="23"/>
  <c r="V22" i="23"/>
  <c r="T22" i="23"/>
  <c r="U22" i="23"/>
  <c r="S22" i="23"/>
  <c r="V26" i="23"/>
  <c r="S26" i="23"/>
  <c r="T26" i="23"/>
  <c r="U26" i="23"/>
  <c r="T17" i="23"/>
  <c r="T43" i="23" s="1"/>
  <c r="G205" i="23" s="1"/>
  <c r="V17" i="23"/>
  <c r="R43" i="23"/>
  <c r="E205" i="23" s="1"/>
  <c r="S17" i="23"/>
  <c r="U17" i="23"/>
  <c r="K118" i="23"/>
  <c r="G207" i="23" s="1"/>
  <c r="J108" i="23"/>
  <c r="L114" i="23"/>
  <c r="AA43" i="23"/>
  <c r="H204" i="23" s="1"/>
  <c r="K111" i="23"/>
  <c r="M108" i="23"/>
  <c r="J113" i="23"/>
  <c r="L110" i="23"/>
  <c r="K100" i="23"/>
  <c r="Y20" i="23"/>
  <c r="AB20" i="23"/>
  <c r="Z20" i="23"/>
  <c r="Z43" i="23" s="1"/>
  <c r="G204" i="23" s="1"/>
  <c r="AA20" i="23"/>
  <c r="AB23" i="23"/>
  <c r="Z23" i="23"/>
  <c r="Y23" i="23"/>
  <c r="AA23" i="23"/>
  <c r="V41" i="23"/>
  <c r="U41" i="23"/>
  <c r="T41" i="23"/>
  <c r="S41" i="23"/>
  <c r="S40" i="23"/>
  <c r="V40" i="23"/>
  <c r="T40" i="23"/>
  <c r="U40" i="23"/>
  <c r="S36" i="23"/>
  <c r="V36" i="23"/>
  <c r="U36" i="23"/>
  <c r="T36" i="23"/>
  <c r="U33" i="23"/>
  <c r="S33" i="23"/>
  <c r="V33" i="23"/>
  <c r="T33" i="23"/>
  <c r="Z41" i="23"/>
  <c r="AB41" i="23"/>
  <c r="Y41" i="23"/>
  <c r="AA41" i="23"/>
  <c r="AB40" i="23"/>
  <c r="AA40" i="23"/>
  <c r="Z40" i="23"/>
  <c r="Y40" i="23"/>
  <c r="T25" i="23"/>
  <c r="S25" i="23"/>
  <c r="U25" i="23"/>
  <c r="V25" i="23"/>
  <c r="M102" i="23"/>
  <c r="I118" i="23"/>
  <c r="E207" i="23" s="1"/>
  <c r="J89" i="23"/>
  <c r="I214" i="14"/>
  <c r="I215" i="14" s="1"/>
  <c r="E239" i="22"/>
  <c r="J54" i="26"/>
  <c r="J55" i="26" s="1"/>
  <c r="I54" i="25"/>
  <c r="I55" i="25" s="1"/>
  <c r="E173" i="22"/>
  <c r="I50" i="25"/>
  <c r="J63" i="26"/>
  <c r="J64" i="26" s="1"/>
  <c r="V10" i="26" s="1"/>
  <c r="E241" i="22"/>
  <c r="I63" i="25"/>
  <c r="I64" i="25" s="1"/>
  <c r="U10" i="25" s="1"/>
  <c r="E230" i="22"/>
  <c r="F230" i="22" s="1"/>
  <c r="H230" i="22" s="1"/>
  <c r="I49" i="25"/>
  <c r="H238" i="22"/>
  <c r="H125" i="22"/>
  <c r="J58" i="26" s="1"/>
  <c r="I45" i="25"/>
  <c r="U7" i="25" s="1"/>
  <c r="G238" i="22"/>
  <c r="G229" i="22"/>
  <c r="E178" i="22" s="1"/>
  <c r="E226" i="22"/>
  <c r="F226" i="22" s="1"/>
  <c r="F228" i="22"/>
  <c r="G228" i="22" s="1"/>
  <c r="H228" i="22" s="1"/>
  <c r="E177" i="22"/>
  <c r="G239" i="22"/>
  <c r="F238" i="22"/>
  <c r="E238" i="22"/>
  <c r="E186" i="22" s="1"/>
  <c r="F239" i="22"/>
  <c r="H146" i="22"/>
  <c r="I59" i="25" s="1"/>
  <c r="H239" i="22"/>
  <c r="J48" i="26"/>
  <c r="J51" i="26" s="1"/>
  <c r="E237" i="22"/>
  <c r="I48" i="25"/>
  <c r="H227" i="22"/>
  <c r="F227" i="22"/>
  <c r="G227" i="22"/>
  <c r="J45" i="26"/>
  <c r="V7" i="26" s="1"/>
  <c r="F225" i="22"/>
  <c r="G225" i="22" s="1"/>
  <c r="E174" i="22" s="1"/>
  <c r="E183" i="22"/>
  <c r="E187" i="22" l="1"/>
  <c r="E176" i="22"/>
  <c r="E189" i="22"/>
  <c r="H210" i="23"/>
  <c r="V43" i="23"/>
  <c r="I205" i="23" s="1"/>
  <c r="E150" i="23" s="1"/>
  <c r="F206" i="23"/>
  <c r="I206" i="23" s="1"/>
  <c r="E151" i="23" s="1"/>
  <c r="H206" i="23"/>
  <c r="G206" i="23"/>
  <c r="G210" i="23" s="1"/>
  <c r="AB43" i="23"/>
  <c r="I204" i="23" s="1"/>
  <c r="U43" i="23"/>
  <c r="H205" i="23" s="1"/>
  <c r="E210" i="23"/>
  <c r="S43" i="23"/>
  <c r="F205" i="23" s="1"/>
  <c r="F210" i="23" s="1"/>
  <c r="I195" i="23"/>
  <c r="H201" i="23"/>
  <c r="J118" i="23"/>
  <c r="F207" i="23" s="1"/>
  <c r="I222" i="14"/>
  <c r="H197" i="23"/>
  <c r="G197" i="23"/>
  <c r="G201" i="23" s="1"/>
  <c r="F197" i="23"/>
  <c r="E201" i="23"/>
  <c r="J59" i="26"/>
  <c r="J60" i="26" s="1"/>
  <c r="V9" i="26" s="1"/>
  <c r="V8" i="26"/>
  <c r="G241" i="22"/>
  <c r="F241" i="22"/>
  <c r="H241" i="22" s="1"/>
  <c r="I58" i="25"/>
  <c r="I60" i="25" s="1"/>
  <c r="U9" i="25" s="1"/>
  <c r="H226" i="22"/>
  <c r="I51" i="25"/>
  <c r="E175" i="22"/>
  <c r="G226" i="22"/>
  <c r="G230" i="22"/>
  <c r="E231" i="22"/>
  <c r="E179" i="22"/>
  <c r="F231" i="22"/>
  <c r="G237" i="22"/>
  <c r="F237" i="22"/>
  <c r="E185" i="22"/>
  <c r="E190" i="22" s="1"/>
  <c r="E242" i="22"/>
  <c r="H225" i="22"/>
  <c r="G242" i="22" l="1"/>
  <c r="F213" i="23"/>
  <c r="G213" i="23"/>
  <c r="G211" i="23"/>
  <c r="G214" i="23" s="1"/>
  <c r="G219" i="23" s="1"/>
  <c r="I210" i="23"/>
  <c r="E149" i="23"/>
  <c r="E155" i="23" s="1"/>
  <c r="H213" i="23"/>
  <c r="H211" i="23"/>
  <c r="E140" i="23"/>
  <c r="E146" i="23" s="1"/>
  <c r="E213" i="23"/>
  <c r="E211" i="23"/>
  <c r="I197" i="23"/>
  <c r="E142" i="23" s="1"/>
  <c r="F201" i="23"/>
  <c r="F211" i="23" s="1"/>
  <c r="F214" i="23" s="1"/>
  <c r="F219" i="23" s="1"/>
  <c r="I217" i="14"/>
  <c r="I239" i="14" s="1"/>
  <c r="I216" i="14"/>
  <c r="U8" i="25"/>
  <c r="G231" i="22"/>
  <c r="E180" i="22"/>
  <c r="E191" i="22" s="1"/>
  <c r="H231" i="22"/>
  <c r="E243" i="22"/>
  <c r="E193" i="22"/>
  <c r="E200" i="22" s="1"/>
  <c r="H237" i="22"/>
  <c r="H242" i="22" s="1"/>
  <c r="F242" i="22"/>
  <c r="F243" i="22" s="1"/>
  <c r="G243" i="22" l="1"/>
  <c r="I201" i="23"/>
  <c r="E156" i="23"/>
  <c r="E158" i="23"/>
  <c r="I238" i="14"/>
  <c r="I243" i="14" s="1"/>
  <c r="I220" i="14"/>
  <c r="F216" i="23"/>
  <c r="G216" i="23"/>
  <c r="E214" i="23"/>
  <c r="H214" i="23"/>
  <c r="I213" i="23"/>
  <c r="I211" i="23"/>
  <c r="I214" i="23" s="1"/>
  <c r="I219" i="23" s="1"/>
  <c r="H243" i="22"/>
  <c r="E194" i="22"/>
  <c r="E196" i="22" s="1"/>
  <c r="E198" i="22" s="1"/>
  <c r="I68" i="25" s="1"/>
  <c r="I69" i="25" s="1"/>
  <c r="G218" i="23" l="1"/>
  <c r="G220" i="23" s="1"/>
  <c r="F218" i="23"/>
  <c r="F220" i="23"/>
  <c r="E159" i="23"/>
  <c r="I224" i="14"/>
  <c r="I223" i="14"/>
  <c r="I216" i="23"/>
  <c r="H219" i="23"/>
  <c r="H216" i="23"/>
  <c r="E219" i="23"/>
  <c r="E216" i="23"/>
  <c r="U11" i="25"/>
  <c r="I72" i="25"/>
  <c r="J68" i="26"/>
  <c r="J69" i="26" s="1"/>
  <c r="E199" i="22"/>
  <c r="E201" i="22" s="1"/>
  <c r="G221" i="23" l="1"/>
  <c r="G222" i="23"/>
  <c r="G224" i="23" s="1"/>
  <c r="G225" i="23" s="1"/>
  <c r="I227" i="14"/>
  <c r="I225" i="14"/>
  <c r="I262" i="14"/>
  <c r="I265" i="14" s="1"/>
  <c r="I230" i="14"/>
  <c r="I244" i="14" s="1"/>
  <c r="J209" i="14"/>
  <c r="F222" i="23"/>
  <c r="F224" i="23" s="1"/>
  <c r="F225" i="23" s="1"/>
  <c r="F221" i="23"/>
  <c r="H218" i="23"/>
  <c r="H220" i="23"/>
  <c r="I263" i="14"/>
  <c r="I266" i="14" s="1"/>
  <c r="I226" i="14"/>
  <c r="J221" i="14"/>
  <c r="E218" i="23"/>
  <c r="E220" i="23" s="1"/>
  <c r="E221" i="23" s="1"/>
  <c r="E222" i="23" s="1"/>
  <c r="E224" i="23" s="1"/>
  <c r="E225" i="23" s="1"/>
  <c r="I218" i="23"/>
  <c r="I220" i="23" s="1"/>
  <c r="E164" i="23"/>
  <c r="E161" i="23"/>
  <c r="V11" i="26"/>
  <c r="J72" i="26"/>
  <c r="I77" i="25"/>
  <c r="E203" i="22"/>
  <c r="E204" i="22" s="1"/>
  <c r="J77" i="26"/>
  <c r="I221" i="23" l="1"/>
  <c r="I222" i="23" s="1"/>
  <c r="I224" i="23" s="1"/>
  <c r="I225" i="23" s="1"/>
  <c r="I272" i="14"/>
  <c r="I275" i="14" s="1"/>
  <c r="I277" i="14" s="1"/>
  <c r="I268" i="14"/>
  <c r="I245" i="14"/>
  <c r="I258" i="14"/>
  <c r="I259" i="14" s="1"/>
  <c r="I246" i="14"/>
  <c r="H222" i="23"/>
  <c r="H224" i="23" s="1"/>
  <c r="H225" i="23" s="1"/>
  <c r="H221" i="23"/>
  <c r="E163" i="23"/>
  <c r="E165" i="23" s="1"/>
  <c r="I271" i="14"/>
  <c r="I274" i="14" s="1"/>
  <c r="I276" i="14" s="1"/>
  <c r="I267" i="14"/>
  <c r="T77" i="26"/>
  <c r="S77" i="25"/>
  <c r="I79" i="25"/>
  <c r="J79" i="26"/>
  <c r="E166" i="23" l="1"/>
  <c r="E167" i="23"/>
  <c r="E169" i="23" s="1"/>
  <c r="E170" i="23" s="1"/>
</calcChain>
</file>

<file path=xl/sharedStrings.xml><?xml version="1.0" encoding="utf-8"?>
<sst xmlns="http://schemas.openxmlformats.org/spreadsheetml/2006/main" count="1225" uniqueCount="659">
  <si>
    <t>KM</t>
  </si>
  <si>
    <t>CLIENT NAME:</t>
  </si>
  <si>
    <t>NAR</t>
  </si>
  <si>
    <t>KM Count</t>
  </si>
  <si>
    <t>Details</t>
  </si>
  <si>
    <t>USD</t>
  </si>
  <si>
    <t>UNIT</t>
  </si>
  <si>
    <t>PAX</t>
  </si>
  <si>
    <t>COST PER DAY</t>
  </si>
  <si>
    <t>Price of the trip</t>
  </si>
  <si>
    <t>Km</t>
  </si>
  <si>
    <t>TRANSPORT OPTIONS (LKR)</t>
  </si>
  <si>
    <t>PRICE OF THE TRIP (USD)</t>
  </si>
  <si>
    <t>FINAL P&amp;L (USD)</t>
  </si>
  <si>
    <t>RACK</t>
  </si>
  <si>
    <t>TOTAL</t>
  </si>
  <si>
    <t>A. TRANSPORTATION</t>
  </si>
  <si>
    <t xml:space="preserve">EXPENSES </t>
  </si>
  <si>
    <t>CIP by SLIS Person Taxi Back</t>
  </si>
  <si>
    <t>D. ACCOMODATION (RACK)</t>
  </si>
  <si>
    <t>MK/DISC</t>
  </si>
  <si>
    <t>B. SUBTOTAL TRANSPORT</t>
  </si>
  <si>
    <t>Expenses</t>
  </si>
  <si>
    <t>Transport</t>
  </si>
  <si>
    <t>Cost</t>
  </si>
  <si>
    <t>Total Cost</t>
  </si>
  <si>
    <t>Day Rack</t>
  </si>
  <si>
    <t>SUBTOTAL</t>
  </si>
  <si>
    <t>ACCOMODATION VAT</t>
  </si>
  <si>
    <t>D. ACCOMODATION (including VAT)</t>
  </si>
  <si>
    <t>Credit Card Fees</t>
  </si>
  <si>
    <t>Sub Totoal GROUND HANDLING (including VAT)</t>
  </si>
  <si>
    <t>VAT Register Hotel</t>
  </si>
  <si>
    <t>Non VAT Register</t>
  </si>
  <si>
    <t>Accomodation - VAT</t>
  </si>
  <si>
    <t>Accomodation - Non VAT</t>
  </si>
  <si>
    <t>Bentota</t>
  </si>
  <si>
    <t>Tangalle</t>
  </si>
  <si>
    <t>Galle</t>
  </si>
  <si>
    <t>Kandy</t>
  </si>
  <si>
    <t>Train Tickets</t>
  </si>
  <si>
    <t>Design Fees (If Applicable)</t>
  </si>
  <si>
    <t xml:space="preserve">Design Fees </t>
  </si>
  <si>
    <t>D. DESIGN FEES (including VAT)</t>
  </si>
  <si>
    <t>AGENT</t>
  </si>
  <si>
    <t>E. AIR (including VAT)</t>
  </si>
  <si>
    <t>Air</t>
  </si>
  <si>
    <t>Accom.</t>
  </si>
  <si>
    <t>COM</t>
  </si>
  <si>
    <t>VAT</t>
  </si>
  <si>
    <t xml:space="preserve">Day AGT R </t>
  </si>
  <si>
    <t>NVAT</t>
  </si>
  <si>
    <t>Colombo</t>
  </si>
  <si>
    <t>Cultural Triangle</t>
  </si>
  <si>
    <t>Anuradnapura by Bike (by Ulaglla Only)</t>
  </si>
  <si>
    <t>National Museum Kandy</t>
  </si>
  <si>
    <t>Round Of Golf at Victoria</t>
  </si>
  <si>
    <t>Tea Country</t>
  </si>
  <si>
    <t>Round of Golf at Nuwara Eliya</t>
  </si>
  <si>
    <t>EXTRA MEALS INCUDED</t>
  </si>
  <si>
    <t>Lunch day 2 (SVH, PRH, TIS, VIL, KAN, ULA)</t>
  </si>
  <si>
    <t>Lunch day 3 (SVH, PRH, TIS, VIL, KAN, ULA)</t>
  </si>
  <si>
    <t>Lunch at Cafeteria of Botanical Gardens</t>
  </si>
  <si>
    <t>Lunch at Kahanda Kanda / Aqua / Taprobane</t>
  </si>
  <si>
    <t>National Guide Accomodation</t>
  </si>
  <si>
    <t>Drivers Accomodation</t>
  </si>
  <si>
    <t>Chauffer Guide Fees</t>
  </si>
  <si>
    <t>Chauffer Guide Accomodation</t>
  </si>
  <si>
    <t>Meals</t>
  </si>
  <si>
    <t>Entrance Fees &amp; Experiences</t>
  </si>
  <si>
    <t>Kandy Perahera Seats</t>
  </si>
  <si>
    <t xml:space="preserve">B. EXPENSES </t>
  </si>
  <si>
    <t>A TRANSPORTATION</t>
  </si>
  <si>
    <t>B EXPENSES</t>
  </si>
  <si>
    <t>C ENTRACES, GUIDES, SITE GUIDES, EXPERIENCES…</t>
  </si>
  <si>
    <t>D MEALS</t>
  </si>
  <si>
    <t>Sim Card</t>
  </si>
  <si>
    <t>Welcome Dinner at Wallawwa / Horathapola / Colombo Restaurants</t>
  </si>
  <si>
    <t>Lunch at Sarruketta on route from Airport or Colombo to CT</t>
  </si>
  <si>
    <t>Lunch and Visity at Villa Bentota / Lunuganga / Barefoot / Gallery</t>
  </si>
  <si>
    <t>High Tea / 1 Round of cocktails at the Galle Hotel</t>
  </si>
  <si>
    <t>F EXPENSES</t>
  </si>
  <si>
    <t>E UNIQUE EXPERIENCES</t>
  </si>
  <si>
    <t>PRICE</t>
  </si>
  <si>
    <t>GROUND HANDLING &amp; EXPERIENCES (including VAT)</t>
  </si>
  <si>
    <t>Experiences</t>
  </si>
  <si>
    <t>Drivers Bata</t>
  </si>
  <si>
    <t>National Guide Fees (Language)</t>
  </si>
  <si>
    <t>National Guide Fees (English)</t>
  </si>
  <si>
    <t>Arrival Flight DETAILS</t>
  </si>
  <si>
    <t>Departure Flight DETAILS</t>
  </si>
  <si>
    <t>Vehicle Type and Rate</t>
  </si>
  <si>
    <t xml:space="preserve">Vehicle Type and Rate - Which vehicle to choose? </t>
  </si>
  <si>
    <t>1-2 PAX</t>
  </si>
  <si>
    <t>Car</t>
  </si>
  <si>
    <t>1-6 PAX</t>
  </si>
  <si>
    <t>6-12 PAX</t>
  </si>
  <si>
    <t xml:space="preserve">Mini Coach </t>
  </si>
  <si>
    <t>12-33 PAX</t>
  </si>
  <si>
    <t xml:space="preserve">Large Coach </t>
  </si>
  <si>
    <t>4x4</t>
  </si>
  <si>
    <t>1-3 PAX</t>
  </si>
  <si>
    <t>Cool Box and Drinks</t>
  </si>
  <si>
    <t>Chauffer National Guide</t>
  </si>
  <si>
    <t>Chauffer National Guide Accomodation</t>
  </si>
  <si>
    <t>Chauffer National Guide (Language)</t>
  </si>
  <si>
    <t>Chauffer Guide, Chauffer National Guide or National Guide + Driver?</t>
  </si>
  <si>
    <t xml:space="preserve">Please refer to the SALES KIT Manual for details of </t>
  </si>
  <si>
    <t>these options. Choose a national guide or a chaufer national guide</t>
  </si>
  <si>
    <t>if the guiding expectations are higher, the trip will be more expensive.</t>
  </si>
  <si>
    <t xml:space="preserve">SILK ROUTE is the VIP Arrival Service. Beyond 5 People its 250 USD </t>
  </si>
  <si>
    <t>1 Welcome Pack for every Family.</t>
  </si>
  <si>
    <t xml:space="preserve">1 X Cool Box and Drinks for every 4 people. </t>
  </si>
  <si>
    <t>Mileage</t>
  </si>
  <si>
    <t>Your approach will be TOP DOWN. If the client is price sensitive from the start</t>
  </si>
  <si>
    <t>TRANSPORT</t>
  </si>
  <si>
    <t>EXPENSES</t>
  </si>
  <si>
    <t>D. MEALS</t>
  </si>
  <si>
    <t>CHK IN</t>
  </si>
  <si>
    <t>CHK OUT</t>
  </si>
  <si>
    <t>N</t>
  </si>
  <si>
    <t>LOCATION</t>
  </si>
  <si>
    <t>FLIGHT/ROUTE/HOTEL/ROOMS</t>
  </si>
  <si>
    <t>VEH/BASIS</t>
  </si>
  <si>
    <t>Please refer to the mileage tab to see point to point KM. Stay put mileage is 100KM per day.</t>
  </si>
  <si>
    <t>MK</t>
  </si>
  <si>
    <t>Exluding AIR - AIR SHOULD BE PRESENTED AS A SUPPLEMENT ALWAYS</t>
  </si>
  <si>
    <t xml:space="preserve">our approach should be BOTTOM UP. Please ask if in doubt. </t>
  </si>
  <si>
    <t>SRI LANKA IN STYLE - Itinerary Quotations Costing Template</t>
  </si>
  <si>
    <t>Micro Van</t>
  </si>
  <si>
    <t xml:space="preserve">Other </t>
  </si>
  <si>
    <t>INTERNAL AIR (SUPPLEMENT)</t>
  </si>
  <si>
    <t>Economic Service Charge</t>
  </si>
  <si>
    <t>ESC</t>
  </si>
  <si>
    <t>60 LKR PER KM</t>
  </si>
  <si>
    <t>160 LKR PER KM</t>
  </si>
  <si>
    <t>Kalpitiya</t>
  </si>
  <si>
    <t>ADDED VALUE</t>
  </si>
  <si>
    <t xml:space="preserve">This table shows the margins we need to charge for each market - do not change this. </t>
  </si>
  <si>
    <t>PRICE OF THE ITINERARY INCLUDING AIR</t>
  </si>
  <si>
    <t>VALUE ADDITION FROM DISPOSABLE GOP</t>
  </si>
  <si>
    <t>PRICE OF THE ITINERARY EXCLIDING AIR</t>
  </si>
  <si>
    <t>MARKET</t>
  </si>
  <si>
    <t xml:space="preserve">CIP SILK ROUTE VIP Arrival </t>
  </si>
  <si>
    <t>CIP SILK ROUTE VIP Departure</t>
  </si>
  <si>
    <t>Welcome Pack | Gifts</t>
  </si>
  <si>
    <t>Dolphins Excursion In Kalpitiya</t>
  </si>
  <si>
    <t>(AM = All Markets, US = USA, SE = Southern Europe)</t>
  </si>
  <si>
    <t>FIT - Direct, TA - Travel Agents, TO - Tour Operators</t>
  </si>
  <si>
    <t>Profit %</t>
  </si>
  <si>
    <t>Profit</t>
  </si>
  <si>
    <t>Profit per person</t>
  </si>
  <si>
    <t>NET PROFIT</t>
  </si>
  <si>
    <t>NET PROFIT %</t>
  </si>
  <si>
    <t>For Offfice Only</t>
  </si>
  <si>
    <t xml:space="preserve">A guided visit to Sigiriya </t>
  </si>
  <si>
    <t>A guided visit to the Dambulla Cave Temples</t>
  </si>
  <si>
    <t>A guided visit to Anuradnapura</t>
  </si>
  <si>
    <t>A guided visit to Mineriya / Kaudulla 2-6 PAX</t>
  </si>
  <si>
    <t>A guided visit to Mineriya / Kaudulla &gt; 6 PAX</t>
  </si>
  <si>
    <t>A guided visit to Mihintale</t>
  </si>
  <si>
    <t>A guided visit to Kaludiya Pokuna</t>
  </si>
  <si>
    <t>A guided visit to the Temple of the Tooth</t>
  </si>
  <si>
    <t>A guided visit to the National Museum</t>
  </si>
  <si>
    <t xml:space="preserve">A guided visit to the Botanical Gardens </t>
  </si>
  <si>
    <t>A guided visit to Pinnawela Elephant Orphanage</t>
  </si>
  <si>
    <t>The Kandy Cultural Show</t>
  </si>
  <si>
    <t>The 3 Temple Loop</t>
  </si>
  <si>
    <t>A guided visit to Udawatakelle</t>
  </si>
  <si>
    <t>A guided visit to a Tea Factory</t>
  </si>
  <si>
    <t xml:space="preserve">Horse Riding at Victoria </t>
  </si>
  <si>
    <t>A guided visit to the Rothchilds Tea Factory by tuk tuk</t>
  </si>
  <si>
    <t>A guided visit to the Haggalla Botanical Gardens</t>
  </si>
  <si>
    <t>A guided visit to the Horton Plains 2-6 PAX</t>
  </si>
  <si>
    <t>A guided visit to the Horton Plains &gt; 6 PAX</t>
  </si>
  <si>
    <t>Half Day Trekking with Niel</t>
  </si>
  <si>
    <t>Full Day Trekking with Niel</t>
  </si>
  <si>
    <t>Rafting + Canyoning + Lunch at Borderlands</t>
  </si>
  <si>
    <t>A guided visit to Adisham Bungalow</t>
  </si>
  <si>
    <t>A guided visit to Lipton Seat</t>
  </si>
  <si>
    <t>Uda Wallawwe</t>
  </si>
  <si>
    <t>A guided visit to Uda Wallawwe 2-6 PAX</t>
  </si>
  <si>
    <t>A guided visit to Uda Wallawwe &gt; 6 PAX</t>
  </si>
  <si>
    <t>A guided visit to the Elephant Transit Home</t>
  </si>
  <si>
    <t>A guided visit to Buduruwagala</t>
  </si>
  <si>
    <t>The 7 hot wells experience</t>
  </si>
  <si>
    <t>Yala &amp; Around</t>
  </si>
  <si>
    <t>A guided visit to Yala National Park 2-6 PAX</t>
  </si>
  <si>
    <t xml:space="preserve">A guided visit to Kataragama Temple </t>
  </si>
  <si>
    <t>Kataragama Perahera Seats</t>
  </si>
  <si>
    <t xml:space="preserve">A guided visit to Kirinda Rock Temple </t>
  </si>
  <si>
    <t>A guided visit to Bundala 2-6 PAX</t>
  </si>
  <si>
    <t>A guided visit to Bundala &gt; 6 PAX</t>
  </si>
  <si>
    <t>A guided visit to Yala National Park &gt; 6 PAX</t>
  </si>
  <si>
    <t>A guided visit to Kalametiya 2-6 PAX</t>
  </si>
  <si>
    <t>A guided visit to Kalametiya &gt; 6 PAX</t>
  </si>
  <si>
    <t xml:space="preserve">A guided visit to the Blow Whole </t>
  </si>
  <si>
    <t>A guided visit to the Rekewa Turtle Conservation Center</t>
  </si>
  <si>
    <t>Idle Bikes - Half Day Bike Ride</t>
  </si>
  <si>
    <t>A guided visit to Mulkirigala Temple</t>
  </si>
  <si>
    <t>A guided visit to the Kotawa / Kannelya Rainforrest</t>
  </si>
  <si>
    <t>A guided visit to a Moonstone Mine in Meetiyagoda</t>
  </si>
  <si>
    <t>A day trip to Sinharaja Rainforrest</t>
  </si>
  <si>
    <t>A guided visit to Brief</t>
  </si>
  <si>
    <t>A River Safari on the Madu Ganga</t>
  </si>
  <si>
    <t>A River Safari on the Bentota Ganga</t>
  </si>
  <si>
    <t xml:space="preserve">A guided visit to the Kosgoda Turtle Hatchery </t>
  </si>
  <si>
    <t>Sea Kayaking with Borderlands</t>
  </si>
  <si>
    <t xml:space="preserve">Colombo by Bike Half Day </t>
  </si>
  <si>
    <t>A Cooking Demo with Mohara Dole</t>
  </si>
  <si>
    <t>Anuradnapura by Bike (other)</t>
  </si>
  <si>
    <t>Including Jeep</t>
  </si>
  <si>
    <t>Including Boat</t>
  </si>
  <si>
    <t xml:space="preserve">Colombo City Walk with Mark Forbes - Half Day (join in) </t>
  </si>
  <si>
    <t>Farewell dinner at Harpos Restaurants</t>
  </si>
  <si>
    <t>A guided visit to Wilpattu 2-6 PAX</t>
  </si>
  <si>
    <t>A guided visit to Wilpattu &gt; 6 PAX</t>
  </si>
  <si>
    <t>Elephant Rides in Habarana</t>
  </si>
  <si>
    <t>Guided visit to Aluvihare</t>
  </si>
  <si>
    <t>PP</t>
  </si>
  <si>
    <t>Kandy | Cooking Demo and Lunch at Ena de Silva Minimum 4 PAX</t>
  </si>
  <si>
    <t>D. UNIQUE EXPERIENCES</t>
  </si>
  <si>
    <t>EXTRA MEALS INCUDED (DINNER + DESSERTS + WATER)</t>
  </si>
  <si>
    <t>AM</t>
  </si>
  <si>
    <t>DO NOT TOUCH THE EXCHANGE RATE</t>
  </si>
  <si>
    <t>Small Change Envelope SMALL</t>
  </si>
  <si>
    <t>Cultural Triangle | Guided with to Polonnaruwa with Priyantha</t>
  </si>
  <si>
    <t>Gods village Experience (Non Exclusive)</t>
  </si>
  <si>
    <t>A guided visit to Kalawewa (by Ulagalla only)</t>
  </si>
  <si>
    <t>Nature Walk Around Ulagalla</t>
  </si>
  <si>
    <t>A guided visit to Ritigala Mountain (by Ulagalla only)</t>
  </si>
  <si>
    <t>40 LKR PER KM</t>
  </si>
  <si>
    <t>60 LKR PER KM Standard / 130 LKR PER KM Deluxe</t>
  </si>
  <si>
    <t xml:space="preserve">Special Surprise </t>
  </si>
  <si>
    <t>XMAS Meet / Greet Galle (20th Dec to 10th of Jan Min 3 nights in Galle)</t>
  </si>
  <si>
    <t>C. ENTRANCE FEES</t>
  </si>
  <si>
    <t xml:space="preserve">MARK UP </t>
  </si>
  <si>
    <t>NET PRICE OF THE ITINERARY EXCLIDING AIR</t>
  </si>
  <si>
    <t>NET PRICE OF THE ITINERARY INCLUDING AIR</t>
  </si>
  <si>
    <t>GROSS PRICE OF THE ITINERARY EXCLIDING AIR</t>
  </si>
  <si>
    <t>GROSS PRICE OF THE ITINERARY INCLUDING AIR</t>
  </si>
  <si>
    <t>Commision to TA (Excluding AIR)</t>
  </si>
  <si>
    <t>Commision to TA (Including AIR)</t>
  </si>
  <si>
    <t>FIT</t>
  </si>
  <si>
    <t>Airport Parking (DO NOT INCLUDE IF CIP IS INCLUDED)</t>
  </si>
  <si>
    <t xml:space="preserve">Conversion to USD </t>
  </si>
  <si>
    <t>FOR BOOKINGS ARRIVING BEYOND 4 MONTHS PLEASE USE 120 AS THE CONVERSION</t>
  </si>
  <si>
    <t>AVERAGE PER PERSON PER DAY SHOULD BE 2 USD</t>
  </si>
  <si>
    <t>PLEASE USE THIS FOR PRECOSTED TIPPING</t>
  </si>
  <si>
    <t>THIS IS FOR THE GUIDES USE</t>
  </si>
  <si>
    <t>Highway Entrance Colombo - Galle</t>
  </si>
  <si>
    <t>Highway Entrance Airport</t>
  </si>
  <si>
    <t>PLEASE COST ONE BY DEFAULT</t>
  </si>
  <si>
    <t>Hot Air Balloning in the Cultural Triangle (AIR MAGIC/ SUNSHINE)</t>
  </si>
  <si>
    <t>A guided visit to Kalawewa SLIS</t>
  </si>
  <si>
    <t>A guided visit to Ritigala Mountain SLIS (WITH 4 X 4)</t>
  </si>
  <si>
    <t>A guided visit to the Garrison Cementry (TIP FOR CHARLES)</t>
  </si>
  <si>
    <t>The Adams Peak Climb WITH NEIL (ELSE NO COST)</t>
  </si>
  <si>
    <t>Climb Little Adam's Peak WITH NEIL (ELSE NO COST)</t>
  </si>
  <si>
    <t>Guided visit to the filming sight of Bridge on the River Kwai (TIP)</t>
  </si>
  <si>
    <t>A guided visit to Sithulpauwwa</t>
  </si>
  <si>
    <t xml:space="preserve">A guided visit to Galle Fort SLIS </t>
  </si>
  <si>
    <t>A guided visit to the Tea Virgins Tea Factory</t>
  </si>
  <si>
    <t>Cinnamon Planation from Mayurana</t>
  </si>
  <si>
    <t>Lunch at Slightly Chilled</t>
  </si>
  <si>
    <t>Lunch at Kitulgala Borderlands</t>
  </si>
  <si>
    <t>Lunch at Villa Mayurana</t>
  </si>
  <si>
    <t>Farewell Dinner at Ministry of Crab</t>
  </si>
  <si>
    <t>Farewell dinner at Galley</t>
  </si>
  <si>
    <t>Lunch at Pinnawala</t>
  </si>
  <si>
    <t>Lunch at</t>
  </si>
  <si>
    <t>Dinner at</t>
  </si>
  <si>
    <t>Bottle of wine at</t>
  </si>
  <si>
    <t>Round of cocktails at</t>
  </si>
  <si>
    <t>Massage at</t>
  </si>
  <si>
    <t>AGENTS DON’T PAY BY CREDIT CARD - REMOVE (EXCEPT FOR SOME USA/CANADA AGENTS)</t>
  </si>
  <si>
    <t>FOR AUTHORIZED SALES STAFF ONLY</t>
  </si>
  <si>
    <t>PREFER NOT TO CHANGE THESE MARK UPS OTHER THAN AN EXCEPTIONAL BASIS</t>
  </si>
  <si>
    <t>OVERRIDES SHOULD BE APPROVED BY SENIOR MANAGEMENT</t>
  </si>
  <si>
    <t>AGENT COMMISION</t>
  </si>
  <si>
    <t>AGENT MARK-UP</t>
  </si>
  <si>
    <t>Dinner at Galle Fort / Amangalla</t>
  </si>
  <si>
    <t xml:space="preserve">Juliet’s Book (If the client wants) </t>
  </si>
  <si>
    <t>Product Check-List</t>
  </si>
  <si>
    <t>Web</t>
  </si>
  <si>
    <t>Salesforce</t>
  </si>
  <si>
    <t>Book Authored by Mr Palipana (If client wants)</t>
  </si>
  <si>
    <t>People / Days</t>
  </si>
  <si>
    <t>&lt; 6</t>
  </si>
  <si>
    <t>13 &gt;</t>
  </si>
  <si>
    <t>4-6 PAX</t>
  </si>
  <si>
    <t>6-10 PAX</t>
  </si>
  <si>
    <t>&gt; 10 PAX</t>
  </si>
  <si>
    <t>7 to 9</t>
  </si>
  <si>
    <t>9 - 12</t>
  </si>
  <si>
    <t>TIMES</t>
  </si>
  <si>
    <t>Early Morning</t>
  </si>
  <si>
    <t>Mid Morning</t>
  </si>
  <si>
    <t xml:space="preserve">Lunch </t>
  </si>
  <si>
    <t>Afternoon</t>
  </si>
  <si>
    <t>Start</t>
  </si>
  <si>
    <t>End</t>
  </si>
  <si>
    <t>11.00 AM</t>
  </si>
  <si>
    <t>3.00 PM</t>
  </si>
  <si>
    <t>9.00 AM</t>
  </si>
  <si>
    <t>Evening</t>
  </si>
  <si>
    <t>5.00 PM</t>
  </si>
  <si>
    <t>EM</t>
  </si>
  <si>
    <t>MM</t>
  </si>
  <si>
    <t>LL</t>
  </si>
  <si>
    <t>EV</t>
  </si>
  <si>
    <t>Kandy | Rahju’s Artist Home | Times: EV</t>
  </si>
  <si>
    <t>1.00 PM</t>
  </si>
  <si>
    <t>7.00 PM</t>
  </si>
  <si>
    <t>Duration</t>
  </si>
  <si>
    <t xml:space="preserve">ON REQUEST | A Dinner with the owners of Sri Lanka In Style </t>
  </si>
  <si>
    <t>Yala or Wilpatu | Private Game Viewing with Noel Rodrigo</t>
  </si>
  <si>
    <t>EA</t>
  </si>
  <si>
    <t>SR</t>
  </si>
  <si>
    <t>Sun Rise</t>
  </si>
  <si>
    <t>7.00 AM</t>
  </si>
  <si>
    <t>DI</t>
  </si>
  <si>
    <t>Dinner</t>
  </si>
  <si>
    <t>9.00 PM</t>
  </si>
  <si>
    <t xml:space="preserve">Kandy | Palipana Botanical Gardens | Times: EM, MM, EA </t>
  </si>
  <si>
    <t>Kandy | A Planter’s Lunch with Emil Van Der Poorten | Times: MM + LL or LL + EA</t>
  </si>
  <si>
    <t>Galle | Juliet Coombe Fort Walk, UNDER 8 PAX  | Times: EM, MM, EA</t>
  </si>
  <si>
    <t>Galle | Juliet Coombe Fort Walk, OVER 8 PAX  | Times: EM, MM, EA</t>
  </si>
  <si>
    <t>Galle | Quantum Yoga with Lara Baumann at  | Times: EM, EA</t>
  </si>
  <si>
    <t>Galle | Quantum Yoga with Lara Baumann - At her home| Times: EM, EA</t>
  </si>
  <si>
    <t>ON REQUEST | The Story of the Ceylon Sapphire in Rathnapura | Times: MM + LL or LL + EA</t>
  </si>
  <si>
    <t>ON REQUEST | Colombo | Colombo City Walks with Mark Forbes | EM,MM,LL,EA&amp;EV</t>
  </si>
  <si>
    <t>ON REQUEST | Colombo | Colombo In Style with Irstel Janssen | Time: LL + EA</t>
  </si>
  <si>
    <t>Bentota | A guided visit to Lunuganga with Jay de Alwis | EM, MM + LL &amp; EA</t>
  </si>
  <si>
    <t xml:space="preserve">Half Day Whale Watching from Galle (join in) </t>
  </si>
  <si>
    <t>COST PER PERSON EXCLIDING AIR</t>
  </si>
  <si>
    <t>COST PER PERSON INCLUDING AIR</t>
  </si>
  <si>
    <t>Galle | Sri Lankan Cooking Class | Times: MM + LL (MIN 4 PAX)</t>
  </si>
  <si>
    <r>
      <t xml:space="preserve">Galle | Sri Lankan Cooking Class | Times: MM + LL </t>
    </r>
    <r>
      <rPr>
        <sz val="8"/>
        <color rgb="FFFF0000"/>
        <rFont val="Arial"/>
        <family val="2"/>
      </rPr>
      <t>(UNDER 4 PAX)</t>
    </r>
  </si>
  <si>
    <t>Galle | English High Tea | Times: EA</t>
  </si>
  <si>
    <r>
      <t xml:space="preserve">Colombo | Colombo City Walks with Mark Forbes | EM + MM, EA + EV </t>
    </r>
    <r>
      <rPr>
        <sz val="8"/>
        <color theme="1"/>
        <rFont val="Arial"/>
        <family val="2"/>
      </rPr>
      <t>(Larger than 4 Pax)</t>
    </r>
  </si>
  <si>
    <r>
      <t>Colombo | Colombo City Walks with Mark Forbes | EM + MM, EA + EV</t>
    </r>
    <r>
      <rPr>
        <sz val="8"/>
        <color theme="1"/>
        <rFont val="Arial"/>
        <family val="2"/>
      </rPr>
      <t xml:space="preserve"> (Kids 12 to 18 Yrs)</t>
    </r>
  </si>
  <si>
    <r>
      <t>Colombo | Colombo City Walks with Mark Forbes | EM + MM, EA + EV</t>
    </r>
    <r>
      <rPr>
        <sz val="8"/>
        <color theme="1"/>
        <rFont val="Arial"/>
        <family val="2"/>
      </rPr>
      <t xml:space="preserve"> (Below 4 Pax)</t>
    </r>
  </si>
  <si>
    <t>Test Itinerary</t>
  </si>
  <si>
    <t>Kotugoda</t>
  </si>
  <si>
    <t xml:space="preserve">Thirappane </t>
  </si>
  <si>
    <t xml:space="preserve">Kandy </t>
  </si>
  <si>
    <t xml:space="preserve">Hatton </t>
  </si>
  <si>
    <t xml:space="preserve">Galle </t>
  </si>
  <si>
    <t>BB</t>
  </si>
  <si>
    <t>HB</t>
  </si>
  <si>
    <t>FB</t>
  </si>
  <si>
    <t>Airport to Kotugoda</t>
  </si>
  <si>
    <t xml:space="preserve">The Wallawwa - Garden Suite </t>
  </si>
  <si>
    <t xml:space="preserve">Kotugoda to Thirappane </t>
  </si>
  <si>
    <t xml:space="preserve">Ulagalla - Chalet Room </t>
  </si>
  <si>
    <t xml:space="preserve">Thirappane to Kandy </t>
  </si>
  <si>
    <t xml:space="preserve">Kandy House - Deluxe Room </t>
  </si>
  <si>
    <t xml:space="preserve">Kandy to Hatton </t>
  </si>
  <si>
    <t xml:space="preserve">Tea Trails - Luxury Room </t>
  </si>
  <si>
    <t xml:space="preserve">Hatton to Galle </t>
  </si>
  <si>
    <t xml:space="preserve">Why House - Main House Double Room </t>
  </si>
  <si>
    <t xml:space="preserve">Galle to Colombo </t>
  </si>
  <si>
    <t xml:space="preserve">Tintagel - Executive Suite </t>
  </si>
  <si>
    <t>Colombo to Airport</t>
  </si>
  <si>
    <t>Train</t>
  </si>
  <si>
    <t>E</t>
  </si>
  <si>
    <t>SITE GUIDE BUFFER</t>
  </si>
  <si>
    <t xml:space="preserve">WITH CHAUFER GUIDE </t>
  </si>
  <si>
    <t xml:space="preserve">HISTED EXPERIENCES JOIN IN </t>
  </si>
  <si>
    <t>HOSTED EXPERIENCES PRIVATE</t>
  </si>
  <si>
    <t>INCLUDE</t>
  </si>
  <si>
    <t>MARGINS TABLE SLIS</t>
  </si>
  <si>
    <t>MARGINS TABLE RDT</t>
  </si>
  <si>
    <t>Date</t>
  </si>
  <si>
    <t>Room Type</t>
  </si>
  <si>
    <t>Single</t>
  </si>
  <si>
    <t>Double</t>
  </si>
  <si>
    <t>Triple</t>
  </si>
  <si>
    <t>Day</t>
  </si>
  <si>
    <t>Chauffer Guide Bata</t>
  </si>
  <si>
    <t>ENTRANCE FEES</t>
  </si>
  <si>
    <t>ACCOMODATION INCLUSIVE OF VAT</t>
  </si>
  <si>
    <t>ACCOMODATION EXCLUSIVE OF VAT</t>
  </si>
  <si>
    <t>A</t>
  </si>
  <si>
    <t>B</t>
  </si>
  <si>
    <t>C</t>
  </si>
  <si>
    <t>No of Children</t>
  </si>
  <si>
    <t>Ages</t>
  </si>
  <si>
    <t>Market</t>
  </si>
  <si>
    <t>Driver Bata (Only with National Guide)</t>
  </si>
  <si>
    <t>Driver and assiatance Bata (Mini / Med/ Large Coach)</t>
  </si>
  <si>
    <t>Driver and assiatance Accomadation (Mini / Med/ Large Coach)</t>
  </si>
  <si>
    <t>B.1 SUBTOTAL TRANSPORT</t>
  </si>
  <si>
    <t xml:space="preserve">Accomodation </t>
  </si>
  <si>
    <t>Basis</t>
  </si>
  <si>
    <t>LKR</t>
  </si>
  <si>
    <t>UNITS</t>
  </si>
  <si>
    <t>Total PAX</t>
  </si>
  <si>
    <t>Personal Particulars</t>
  </si>
  <si>
    <t>USD PP</t>
  </si>
  <si>
    <t>Total Mileage</t>
  </si>
  <si>
    <t>Total Accomodation Cost</t>
  </si>
  <si>
    <t>Sector 1</t>
  </si>
  <si>
    <t>Sector 2</t>
  </si>
  <si>
    <t>Sector 3</t>
  </si>
  <si>
    <t>Sector 4</t>
  </si>
  <si>
    <t>UK</t>
  </si>
  <si>
    <t xml:space="preserve">No of Adults </t>
  </si>
  <si>
    <t xml:space="preserve">Car / Van (KDH) </t>
  </si>
  <si>
    <t>4 x4 Standard</t>
  </si>
  <si>
    <t xml:space="preserve">33 Seater </t>
  </si>
  <si>
    <t>4 x 4 Deluxe</t>
  </si>
  <si>
    <t xml:space="preserve">No changes to be made without prior approval. </t>
  </si>
  <si>
    <t xml:space="preserve">All overides to be approved by Management. </t>
  </si>
  <si>
    <t xml:space="preserve">These rates are maintained by the OPERATIONS DEPARTMENT. </t>
  </si>
  <si>
    <t>Rate - Non VAT Registered</t>
  </si>
  <si>
    <t>Rate - VAT Registered</t>
  </si>
  <si>
    <t>Round of Cocktails at</t>
  </si>
  <si>
    <t>4 x 4 Luxury</t>
  </si>
  <si>
    <t>EXPERIENCES</t>
  </si>
  <si>
    <t>RED DOT TOURS / SRI LANKA IN STYLE / QUOTATION TEMPLATE</t>
  </si>
  <si>
    <t>DOMESTIC FLIGHTS</t>
  </si>
  <si>
    <t>CIP Person Taxi Back</t>
  </si>
  <si>
    <t>D</t>
  </si>
  <si>
    <t xml:space="preserve">Incentives and Commisions </t>
  </si>
  <si>
    <t>Rate</t>
  </si>
  <si>
    <t xml:space="preserve">Estimated Profit and Loss </t>
  </si>
  <si>
    <t>ACCOMODATION &amp; MILEAGE</t>
  </si>
  <si>
    <t>Location</t>
  </si>
  <si>
    <t>DOMESTIC TRANSPORT &amp; GUIDING</t>
  </si>
  <si>
    <t>TOTAL TRANSPORTATION COSTS</t>
  </si>
  <si>
    <t>EXPENSE COSTS</t>
  </si>
  <si>
    <t>DOMESTIC FLIGHTS COSTS</t>
  </si>
  <si>
    <t>INTERNATIONAL AIR</t>
  </si>
  <si>
    <t xml:space="preserve">FINAL ECONOMICS </t>
  </si>
  <si>
    <t>DOMESTIC TRANSPORATION AND GUIDING</t>
  </si>
  <si>
    <t>USD PP COST</t>
  </si>
  <si>
    <t>VALUE ADDITIONS</t>
  </si>
  <si>
    <t>Net Price of the Flight Tickets</t>
  </si>
  <si>
    <t xml:space="preserve"> TYPE</t>
  </si>
  <si>
    <t>TYPE</t>
  </si>
  <si>
    <t>TO / TA</t>
  </si>
  <si>
    <t>USA</t>
  </si>
  <si>
    <t>World</t>
  </si>
  <si>
    <t>All</t>
  </si>
  <si>
    <t>Region</t>
  </si>
  <si>
    <t xml:space="preserve">Untis </t>
  </si>
  <si>
    <t>TOTAL COST BEFORE MARKUP AND TAXES</t>
  </si>
  <si>
    <t>Scott Dunn</t>
  </si>
  <si>
    <t>COSTS</t>
  </si>
  <si>
    <t>PRICING WITH MARK UPS</t>
  </si>
  <si>
    <t>FINAL PRICE - Non VAT Registered</t>
  </si>
  <si>
    <t>FINAL PRICE - VAT Registered</t>
  </si>
  <si>
    <t xml:space="preserve">PRICE OF THE TRIP AFTER MARK UP BEFORE TAXES </t>
  </si>
  <si>
    <t>MARKUP</t>
  </si>
  <si>
    <t>SITE VISITS / ACTIVITIES / EXPERIENCES</t>
  </si>
  <si>
    <t xml:space="preserve">Description </t>
  </si>
  <si>
    <t>Domestic Flights Schedules (SUPPLEMENT)</t>
  </si>
  <si>
    <t xml:space="preserve">Charter Flights </t>
  </si>
  <si>
    <t xml:space="preserve">Shedule Flights </t>
  </si>
  <si>
    <t xml:space="preserve">Final Price </t>
  </si>
  <si>
    <t xml:space="preserve">FINAL PRICE </t>
  </si>
  <si>
    <t xml:space="preserve">PRICE OF THE TRIP AFTER MARK UP BEFORE PREMIEM &amp; TAXES </t>
  </si>
  <si>
    <t>For Management Only</t>
  </si>
  <si>
    <t>Mark-ups by Hotel Type and Market</t>
  </si>
  <si>
    <t xml:space="preserve">How to work out which rate to choose? </t>
  </si>
  <si>
    <t xml:space="preserve">Use TYPE A for Charters </t>
  </si>
  <si>
    <t>Use TYPE B for Schedule Departures</t>
  </si>
  <si>
    <t>ACCOMODATION</t>
  </si>
  <si>
    <t>Mark-ups by Experience Type</t>
  </si>
  <si>
    <t>Mark-Ups by Domestic Flight Type</t>
  </si>
  <si>
    <t xml:space="preserve">Mark-Ups to the costs. </t>
  </si>
  <si>
    <t xml:space="preserve">Final Publishd Price (including mark-up) </t>
  </si>
  <si>
    <t>Transport / Guides</t>
  </si>
  <si>
    <t>Mark-Ups Formulas</t>
  </si>
  <si>
    <t xml:space="preserve">Which type should I use? </t>
  </si>
  <si>
    <t xml:space="preserve">Where do I get the TYPE? </t>
  </si>
  <si>
    <t xml:space="preserve">The type is indicated on the DBS EXP. </t>
  </si>
  <si>
    <t>Please refer to the latest one sent</t>
  </si>
  <si>
    <t xml:space="preserve">to you every Friday. </t>
  </si>
  <si>
    <t>Total</t>
  </si>
  <si>
    <t>Value addition Mark-Up</t>
  </si>
  <si>
    <t xml:space="preserve">Mark-up for value additions. </t>
  </si>
  <si>
    <t>INTERNATIONAL FLIGHTS</t>
  </si>
  <si>
    <t xml:space="preserve">Mark-up for international flights. </t>
  </si>
  <si>
    <t>Credit Card Commision</t>
  </si>
  <si>
    <t>STATUTOURY CHARGES</t>
  </si>
  <si>
    <t>COST TOTAL</t>
  </si>
  <si>
    <t xml:space="preserve">Price Before Taxes </t>
  </si>
  <si>
    <t xml:space="preserve">Cool Box and Drinks </t>
  </si>
  <si>
    <t xml:space="preserve">MARKUP AFTER PREMIUM/ SENSITIVE PRICING </t>
  </si>
  <si>
    <t>Total VAT (15%)</t>
  </si>
  <si>
    <t xml:space="preserve">: </t>
  </si>
  <si>
    <t>NAME OF CLIENT</t>
  </si>
  <si>
    <t>Mark-up</t>
  </si>
  <si>
    <t xml:space="preserve">What do I do in case of a price objection? </t>
  </si>
  <si>
    <t xml:space="preserve">In the case of a price objection there are may factors to consider: 
1. Are you able to propose other, more competitively priced hotels? 
2. Are you able to tap into special offers? Please do - we have a document with special offers updated. 
3. Are you able to give them a cheaper room in the same hotel? 
4. Are you able to pursuade the hotel to give you a spa treatment or a dinner to 'sweeten the deal'? Pick up the phone and speak to them. 
5. Double check whether there is guide accomodation in the hotels so we can save the money on ground handling.
6. Double check the mileage, dont overstate the km. 
7. Be sure to include experiences that justify the price we charge. 
8. If you are hitting a wall and need to give them a straight discount - take the rate on this chart and deduct up to 2%. </t>
  </si>
  <si>
    <t xml:space="preserve">Credit Card Fees </t>
  </si>
  <si>
    <t>TEA TRAILS</t>
  </si>
  <si>
    <t>CAPE WELIGAMA</t>
  </si>
  <si>
    <t>NET PROFIT % of COST (MARKUP)</t>
  </si>
  <si>
    <t xml:space="preserve">Type </t>
  </si>
  <si>
    <t>SERVICE PREMIUM/ SENSITIVE PRICING</t>
  </si>
  <si>
    <t>Name of Client/TO/TA</t>
  </si>
  <si>
    <t>NET PROFIT % OF SALES (MARGIN)</t>
  </si>
  <si>
    <t>TOTA - Special</t>
  </si>
  <si>
    <t>TOTA - Normal</t>
  </si>
  <si>
    <t xml:space="preserve">TOTA - Premier </t>
  </si>
  <si>
    <t>GALLE FACE HOTEL</t>
  </si>
  <si>
    <t>premier ocean with bacony</t>
  </si>
  <si>
    <t>garden + luxury</t>
  </si>
  <si>
    <t>DEPARTURE</t>
  </si>
  <si>
    <t xml:space="preserve">Entrance Fees to Sigiriya </t>
  </si>
  <si>
    <t>Entrance Fees to Polonnaruwa</t>
  </si>
  <si>
    <t>Entrance Fees to the Dambulla Cave Temples</t>
  </si>
  <si>
    <t>Entrance Fees to Anuradnapura</t>
  </si>
  <si>
    <t>Visit to Mineriya / Kaudulla 2-6 PAX in 4 x 4</t>
  </si>
  <si>
    <t>Hiriwadunna Village Experience with Kelum</t>
  </si>
  <si>
    <t>Entrance Fees to Mihintale</t>
  </si>
  <si>
    <t>Rafting +  Lunch at Borderlands</t>
  </si>
  <si>
    <t>A Traditional Village Experience with Village Rider</t>
  </si>
  <si>
    <t xml:space="preserve">Half Day Whale Watching from Galle (join in mirisa water sports) </t>
  </si>
  <si>
    <t>Boat Safari on Sri Lanka's largest lake (4 hr) : USD 147 for up to 4 guests, USD 31 for every additional person</t>
  </si>
  <si>
    <t>Jeep Safari and walk through the forgotten Nilgala territory of the Park (4 hr) : USD 55 per person. Min 2 people</t>
  </si>
  <si>
    <t>A Walk of Discovery with the Chief Veddha (1-2 hours) : USD 49</t>
  </si>
  <si>
    <t xml:space="preserve">Yes </t>
  </si>
  <si>
    <t>No</t>
  </si>
  <si>
    <t>Whether the client pays via credit card</t>
  </si>
  <si>
    <t>FIT - RDT</t>
  </si>
  <si>
    <t>FIT- SLIS</t>
  </si>
  <si>
    <t>FIT - SLIS</t>
  </si>
  <si>
    <t xml:space="preserve">SITE VISITS </t>
  </si>
  <si>
    <t>SITE VISITS</t>
  </si>
  <si>
    <t>Mark-Ups By Site Visits</t>
  </si>
  <si>
    <t xml:space="preserve"> ACTIVITIES / EXPERIENCES</t>
  </si>
  <si>
    <t>Dunk</t>
  </si>
  <si>
    <t>Kandy / Mattala (Intl. Airport)</t>
  </si>
  <si>
    <t>TOTA - Retail</t>
  </si>
  <si>
    <t>COST BREAKDOWN</t>
  </si>
  <si>
    <t xml:space="preserve">Date </t>
  </si>
  <si>
    <t xml:space="preserve">Location </t>
  </si>
  <si>
    <t>Accommodation</t>
  </si>
  <si>
    <t xml:space="preserve">Room </t>
  </si>
  <si>
    <t>Room Rate</t>
  </si>
  <si>
    <t>Type (PLEASE SELECT)</t>
  </si>
  <si>
    <t xml:space="preserve">Transport and Guiding </t>
  </si>
  <si>
    <t>GROUND HANDLING</t>
  </si>
  <si>
    <t>Sample 1</t>
  </si>
  <si>
    <t>Sample 2</t>
  </si>
  <si>
    <t>Sample 3</t>
  </si>
  <si>
    <t>Sample 4</t>
  </si>
  <si>
    <t>Sample 5</t>
  </si>
  <si>
    <t>Sample 6</t>
  </si>
  <si>
    <t>Sample 7</t>
  </si>
  <si>
    <t>Sample 8</t>
  </si>
  <si>
    <t>Sample 9</t>
  </si>
  <si>
    <t>Sample 10</t>
  </si>
  <si>
    <t>Sample 11</t>
  </si>
  <si>
    <t>Sector &amp; Details</t>
  </si>
  <si>
    <t>TOTAL PRICE</t>
  </si>
  <si>
    <t>Select the box and then you can copy paste onto an email</t>
  </si>
  <si>
    <t xml:space="preserve">TOTA - Special </t>
  </si>
  <si>
    <t xml:space="preserve">Charter </t>
  </si>
  <si>
    <t>DOMESTIC FLIGHT SHEDULES (SUPPLIMENT)</t>
  </si>
  <si>
    <t xml:space="preserve">NET PROFIT % OF COST </t>
  </si>
  <si>
    <t>WILL HIDE AND LOCK</t>
  </si>
  <si>
    <t>FIT - Bottom Up</t>
  </si>
  <si>
    <t>FIT - Top Down</t>
  </si>
  <si>
    <t>TFG QUOTATION TEMPLATE</t>
  </si>
  <si>
    <t xml:space="preserve">TOTAL GROUND HANDLING </t>
  </si>
  <si>
    <t xml:space="preserve">TOTAL INTERNATIONAL FLIGHTS </t>
  </si>
  <si>
    <t xml:space="preserve">Name </t>
  </si>
  <si>
    <t xml:space="preserve">Number of people </t>
  </si>
  <si>
    <t xml:space="preserve">No changes to be made without Management Approval </t>
  </si>
  <si>
    <t xml:space="preserve">Water </t>
  </si>
  <si>
    <t>WI - FI</t>
  </si>
  <si>
    <t xml:space="preserve">Trasport Related Expenses </t>
  </si>
  <si>
    <t xml:space="preserve">Domestic Flights </t>
  </si>
  <si>
    <t xml:space="preserve">SITE VISITS AND EXPERIENCES </t>
  </si>
  <si>
    <t xml:space="preserve">Site Visits </t>
  </si>
  <si>
    <t xml:space="preserve">Experiences </t>
  </si>
  <si>
    <t xml:space="preserve">OTHER STATUTORY CHARGES </t>
  </si>
  <si>
    <t xml:space="preserve">Sales Taxes </t>
  </si>
  <si>
    <t xml:space="preserve">TOTAL OTHER STATUTORY CHARGES </t>
  </si>
  <si>
    <t>Vans (above 06 pax)</t>
  </si>
  <si>
    <t>xxx</t>
  </si>
  <si>
    <t xml:space="preserve">Market </t>
  </si>
  <si>
    <t xml:space="preserve">TEST </t>
  </si>
  <si>
    <t xml:space="preserve">Brand </t>
  </si>
  <si>
    <t xml:space="preserve">1 USD per person per day </t>
  </si>
  <si>
    <t>TOTAL SITE VISITS AND EXPERIENCE</t>
  </si>
  <si>
    <t xml:space="preserve">SITE VISITS  AND MEALS </t>
  </si>
  <si>
    <t xml:space="preserve">MEALS </t>
  </si>
  <si>
    <t>SITE VISITS, MEALS &amp; EXPERIENCES</t>
  </si>
  <si>
    <t xml:space="preserve">Guidelines for the Expenses </t>
  </si>
  <si>
    <t>Water</t>
  </si>
  <si>
    <t xml:space="preserve">WI -FI </t>
  </si>
  <si>
    <t xml:space="preserve">2 USD per person per day </t>
  </si>
  <si>
    <t xml:space="preserve">These rates cane be used as a guideline for the tours, based on a special requirement this can be amended </t>
  </si>
  <si>
    <t xml:space="preserve">Mark-up for Meals </t>
  </si>
  <si>
    <t>Hotel Category Type</t>
  </si>
  <si>
    <t xml:space="preserve">Welcome Pack | Gifts - Adults </t>
  </si>
  <si>
    <t xml:space="preserve">Welcome Pack | Gifts - Kids </t>
  </si>
  <si>
    <t xml:space="preserve">Hotel Category </t>
  </si>
  <si>
    <t xml:space="preserve">PAX/ UNITS </t>
  </si>
  <si>
    <t xml:space="preserve">TOTAL MEALS </t>
  </si>
  <si>
    <t xml:space="preserve">Meal Plan </t>
  </si>
  <si>
    <t>ACCOMMODATION</t>
  </si>
  <si>
    <t xml:space="preserve">4 x 4 Luxury - 2012 or After </t>
  </si>
  <si>
    <t xml:space="preserve">4 x 4 Luxury - 2011 or before </t>
  </si>
  <si>
    <t>National Guide Accommodation</t>
  </si>
  <si>
    <t>Driver and assistance Bata (Mini / Med/ Large Coach)</t>
  </si>
  <si>
    <t>Driver and assistance Accommodation (Mini / Med/ Large Coach)</t>
  </si>
  <si>
    <t xml:space="preserve">Cost of conversion </t>
  </si>
  <si>
    <t xml:space="preserve">Final Published Price (including mark-up) </t>
  </si>
  <si>
    <t xml:space="preserve">Unties </t>
  </si>
  <si>
    <t xml:space="preserve">In the case of a price objection there are may factors to consider: 
1. Are you able to propose other, more competitively priced hotels? 
2. Are you able to tap into special offers? Please do - we have a document with special offers updated. 
3. Are you able to give them a cheaper room in the same hotel? 
4. Are you able to persuade the hotel to give you a spa treatment or a dinner to 'sweeten the deal'? Pick up the phone and speak to them. 
5. Double check whether there is guide accommodation in the hotels so we can save the money on ground handling.
6. Double check the mileage, don't overstate the km. 
7. Be sure to include experiences that justify the price we charge. 
8. If you are hitting a wall and need to give them a straight discount - take the rate on this chart and deduct up to 2%. </t>
  </si>
  <si>
    <t xml:space="preserve">Accommodation </t>
  </si>
  <si>
    <t>For Accommodations</t>
  </si>
  <si>
    <t xml:space="preserve">Scheduled </t>
  </si>
  <si>
    <t>Total Accommodation Cost</t>
  </si>
  <si>
    <t xml:space="preserve">Transport Related Expenses </t>
  </si>
  <si>
    <t>TOTAL ACCOMMODATION</t>
  </si>
  <si>
    <t>ACCOMMODATION INCLUSIVE OF VAT</t>
  </si>
  <si>
    <t>ACCOMMODATION EXCLUSIVE OF VAT</t>
  </si>
  <si>
    <t xml:space="preserve">Chauffer Guide Fees+ Bata+Accommodation </t>
  </si>
  <si>
    <t xml:space="preserve">1.5 USD per person per day </t>
  </si>
  <si>
    <t>TOTA Special</t>
  </si>
  <si>
    <t>TOTA Retail</t>
  </si>
  <si>
    <t>FIT Bottom Up</t>
  </si>
  <si>
    <t>FIT Top Down</t>
  </si>
  <si>
    <t>A+</t>
  </si>
  <si>
    <t>B+</t>
  </si>
  <si>
    <t>C+</t>
  </si>
  <si>
    <t>A++</t>
  </si>
  <si>
    <t xml:space="preserve">Red Dot </t>
  </si>
  <si>
    <t xml:space="preserve">Sri Lanka in Style </t>
  </si>
  <si>
    <t xml:space="preserve">Red Dot Sports </t>
  </si>
  <si>
    <t xml:space="preserve">Instyle Incentives </t>
  </si>
  <si>
    <t xml:space="preserve">The Fabulous Getaway </t>
  </si>
  <si>
    <t>Nine Skies</t>
  </si>
  <si>
    <t>Bedroom twin</t>
  </si>
  <si>
    <t>Kings Pavillion</t>
  </si>
  <si>
    <t xml:space="preserve">Junior Suite </t>
  </si>
  <si>
    <t>Ai</t>
  </si>
  <si>
    <t>AI</t>
  </si>
  <si>
    <t>Cocoon Suite</t>
  </si>
  <si>
    <t>Wild oast Lodge</t>
  </si>
  <si>
    <t>OTP</t>
  </si>
  <si>
    <t>Suite Dreams</t>
  </si>
  <si>
    <t xml:space="preserve">Kandy City and Temple walk (Guided walking tour) </t>
  </si>
  <si>
    <t>A visit to an artists home</t>
  </si>
  <si>
    <t>Past to Present walking tour with a 5th generation fort resident</t>
  </si>
  <si>
    <t>Tea Factory</t>
  </si>
  <si>
    <t>Ella rock</t>
  </si>
  <si>
    <t>Shangri La Hambantota</t>
  </si>
  <si>
    <t>Premier Ocean Room</t>
  </si>
  <si>
    <t>303 per night on BB with a 40% off from pasan and an HB upgrade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</si>
</sst>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quot;$&quot;#,##0.00"/>
    <numFmt numFmtId="169" formatCode="[$LKR]\ #,##0"/>
    <numFmt numFmtId="170" formatCode="[$-F800]dddd\,\ mmmm\ dd\,\ yyyy"/>
    <numFmt numFmtId="171" formatCode="_(&quot;$&quot;* #,##0_);_(&quot;$&quot;* \(#,##0\);_(&quot;$&quot;* &quot;-&quot;??_);_(@_)"/>
    <numFmt numFmtId="172" formatCode="_-* #,##0_-;\-* #,##0_-;_-* &quot;-&quot;??_-;_-@_-"/>
    <numFmt numFmtId="173" formatCode="&quot;$&quot;#,##0"/>
    <numFmt numFmtId="174" formatCode="_([$$-409]* #,##0.00_);_([$$-409]* \(#,##0.00\);_([$$-409]* &quot;-&quot;??_);_(@_)"/>
    <numFmt numFmtId="175" formatCode="_([$$-409]* #,##0_);_([$$-409]* \(#,##0\);_([$$-409]* &quot;-&quot;??_);_(@_)"/>
    <numFmt numFmtId="176" formatCode="_-[$$-409]* #,##0.00_ ;_-[$$-409]* \-#,##0.00\ ;_-[$$-409]* &quot;-&quot;??_ ;_-@_ "/>
    <numFmt numFmtId="177" formatCode="_-[$$-409]* #,##0_ ;_-[$$-409]* \-#,##0\ ;_-[$$-409]* &quot;-&quot;??_ ;_-@_ "/>
    <numFmt numFmtId="178" formatCode="_-* #,##0.0_-;\-* #,##0.0_-;_-* &quot;-&quot;??_-;_-@_-"/>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6"/>
      <name val="Arial"/>
      <family val="2"/>
    </font>
    <font>
      <b/>
      <sz val="8"/>
      <name val="Arial"/>
      <family val="2"/>
    </font>
    <font>
      <sz val="8"/>
      <name val="Arial"/>
      <family val="2"/>
    </font>
    <font>
      <sz val="8"/>
      <color indexed="8"/>
      <name val="Arial"/>
      <family val="2"/>
    </font>
    <font>
      <b/>
      <sz val="8"/>
      <name val="Arial"/>
      <family val="2"/>
    </font>
    <font>
      <sz val="16"/>
      <name val="Arial"/>
      <family val="2"/>
    </font>
    <font>
      <sz val="8"/>
      <color indexed="10"/>
      <name val="Arial"/>
      <family val="2"/>
    </font>
    <font>
      <b/>
      <sz val="8"/>
      <color rgb="FFFF0000"/>
      <name val="Arial"/>
      <family val="2"/>
    </font>
    <font>
      <b/>
      <sz val="10"/>
      <name val="Arial"/>
      <family val="2"/>
    </font>
    <font>
      <b/>
      <sz val="8"/>
      <color theme="0"/>
      <name val="Arial"/>
      <family val="2"/>
    </font>
    <font>
      <sz val="8"/>
      <color theme="0"/>
      <name val="Arial"/>
      <family val="2"/>
    </font>
    <font>
      <b/>
      <sz val="8"/>
      <color theme="1"/>
      <name val="Arial"/>
      <family val="2"/>
    </font>
    <font>
      <sz val="8"/>
      <color rgb="FFFF0000"/>
      <name val="Arial"/>
      <family val="2"/>
    </font>
    <font>
      <sz val="8"/>
      <color theme="1"/>
      <name val="Arial"/>
      <family val="2"/>
    </font>
    <font>
      <b/>
      <sz val="16"/>
      <color rgb="FFFF0000"/>
      <name val="Arial"/>
      <family val="2"/>
    </font>
    <font>
      <sz val="16"/>
      <color rgb="FFFF0000"/>
      <name val="Arial"/>
      <family val="2"/>
    </font>
    <font>
      <sz val="9"/>
      <name val="Arial"/>
      <family val="2"/>
    </font>
    <font>
      <sz val="10"/>
      <name val="Arial"/>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name val="Calibri"/>
      <family val="2"/>
      <scheme val="minor"/>
    </font>
    <font>
      <b/>
      <sz val="11"/>
      <name val="Calibri"/>
      <family val="2"/>
      <scheme val="minor"/>
    </font>
    <font>
      <b/>
      <sz val="11"/>
      <color rgb="FF00B050"/>
      <name val="Calibri"/>
      <family val="2"/>
      <scheme val="minor"/>
    </font>
    <font>
      <b/>
      <i/>
      <sz val="11"/>
      <color theme="0"/>
      <name val="Calibri"/>
      <family val="2"/>
      <scheme val="minor"/>
    </font>
    <font>
      <b/>
      <sz val="14"/>
      <color rgb="FFFF0000"/>
      <name val="Calibri"/>
      <family val="2"/>
      <scheme val="minor"/>
    </font>
    <font>
      <sz val="11"/>
      <color theme="3" tint="-0.249977111117893"/>
      <name val="Calibri"/>
      <family val="2"/>
      <scheme val="minor"/>
    </font>
    <font>
      <b/>
      <sz val="11"/>
      <color theme="3" tint="-0.249977111117893"/>
      <name val="Calibri"/>
      <family val="2"/>
      <scheme val="minor"/>
    </font>
    <font>
      <b/>
      <sz val="22"/>
      <color theme="0"/>
      <name val="Calibri"/>
      <family val="2"/>
      <scheme val="minor"/>
    </font>
    <font>
      <b/>
      <sz val="22"/>
      <name val="Calibri"/>
      <family val="2"/>
      <scheme val="minor"/>
    </font>
    <font>
      <b/>
      <sz val="20"/>
      <name val="Calibri"/>
      <family val="2"/>
      <scheme val="minor"/>
    </font>
    <font>
      <b/>
      <sz val="14"/>
      <name val="Calibri"/>
      <family val="2"/>
      <scheme val="minor"/>
    </font>
    <font>
      <sz val="11"/>
      <color rgb="FFC00000"/>
      <name val="Calibri"/>
      <family val="2"/>
      <scheme val="minor"/>
    </font>
    <font>
      <b/>
      <sz val="11"/>
      <color rgb="FFC00000"/>
      <name val="Calibri"/>
      <family val="2"/>
      <scheme val="minor"/>
    </font>
    <font>
      <u/>
      <sz val="10"/>
      <color theme="10"/>
      <name val="Arial"/>
      <family val="2"/>
    </font>
    <font>
      <u/>
      <sz val="10"/>
      <color theme="11"/>
      <name val="Arial"/>
      <family val="2"/>
    </font>
    <font>
      <b/>
      <sz val="16"/>
      <name val="Calibri"/>
      <family val="2"/>
      <scheme val="minor"/>
    </font>
    <font>
      <b/>
      <sz val="10"/>
      <color rgb="FFFF0000"/>
      <name val="Arial"/>
      <family val="2"/>
    </font>
    <font>
      <b/>
      <i/>
      <sz val="11"/>
      <name val="Calibri"/>
      <family val="2"/>
      <scheme val="minor"/>
    </font>
    <font>
      <sz val="10"/>
      <color theme="0"/>
      <name val="Arial"/>
      <family val="2"/>
    </font>
    <font>
      <b/>
      <sz val="20"/>
      <color theme="0"/>
      <name val="Calibri"/>
      <family val="2"/>
      <scheme val="minor"/>
    </font>
  </fonts>
  <fills count="4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1" tint="4.9989318521683403E-2"/>
        <bgColor indexed="64"/>
      </patternFill>
    </fill>
    <fill>
      <patternFill patternType="solid">
        <fgColor rgb="FF00B0F0"/>
        <bgColor indexed="64"/>
      </patternFill>
    </fill>
    <fill>
      <patternFill patternType="solid">
        <fgColor rgb="FF7030A0"/>
        <bgColor indexed="64"/>
      </patternFill>
    </fill>
    <fill>
      <patternFill patternType="solid">
        <fgColor theme="1"/>
        <bgColor indexed="64"/>
      </patternFill>
    </fill>
    <fill>
      <patternFill patternType="solid">
        <fgColor rgb="FF00B050"/>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002060"/>
        <bgColor indexed="64"/>
      </patternFill>
    </fill>
    <fill>
      <patternFill patternType="solid">
        <fgColor theme="6" tint="0.59999389629810485"/>
        <bgColor indexed="64"/>
      </patternFill>
    </fill>
    <fill>
      <patternFill patternType="solid">
        <fgColor rgb="FFC00000"/>
        <bgColor indexed="64"/>
      </patternFill>
    </fill>
    <fill>
      <patternFill patternType="solid">
        <fgColor rgb="FF0070C0"/>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medium">
        <color auto="1"/>
      </left>
      <right style="medium">
        <color auto="1"/>
      </right>
      <top/>
      <bottom/>
      <diagonal/>
    </border>
    <border>
      <left/>
      <right style="thin">
        <color auto="1"/>
      </right>
      <top style="medium">
        <color auto="1"/>
      </top>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style="thin">
        <color auto="1"/>
      </left>
      <right style="medium">
        <color auto="1"/>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medium">
        <color auto="1"/>
      </right>
      <top/>
      <bottom/>
      <diagonal/>
    </border>
    <border>
      <left/>
      <right style="thin">
        <color auto="1"/>
      </right>
      <top style="medium">
        <color auto="1"/>
      </top>
      <bottom style="thin">
        <color auto="1"/>
      </bottom>
      <diagonal/>
    </border>
    <border>
      <left style="medium">
        <color auto="1"/>
      </left>
      <right style="medium">
        <color auto="1"/>
      </right>
      <top style="thin">
        <color auto="1"/>
      </top>
      <bottom/>
      <diagonal/>
    </border>
  </borders>
  <cellStyleXfs count="10">
    <xf numFmtId="0" fontId="0" fillId="0" borderId="0"/>
    <xf numFmtId="43" fontId="17" fillId="0" borderId="0" applyFont="0" applyFill="0" applyBorder="0" applyAlignment="0" applyProtection="0"/>
    <xf numFmtId="9" fontId="17" fillId="0" borderId="0" applyFont="0" applyFill="0" applyBorder="0" applyAlignment="0" applyProtection="0"/>
    <xf numFmtId="0" fontId="17" fillId="0" borderId="0"/>
    <xf numFmtId="164" fontId="36" fillId="0" borderId="0" applyFont="0" applyFill="0" applyBorder="0" applyAlignment="0" applyProtection="0"/>
    <xf numFmtId="164" fontId="17" fillId="0" borderId="0" applyFon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cellStyleXfs>
  <cellXfs count="1170">
    <xf numFmtId="0" fontId="0" fillId="0" borderId="0" xfId="0"/>
    <xf numFmtId="0" fontId="22" fillId="2" borderId="1" xfId="0" applyFont="1" applyFill="1" applyBorder="1" applyAlignment="1" applyProtection="1">
      <alignment horizontal="center"/>
      <protection locked="0"/>
    </xf>
    <xf numFmtId="0" fontId="21" fillId="6" borderId="1" xfId="0" applyFont="1" applyFill="1" applyBorder="1" applyAlignment="1" applyProtection="1">
      <alignment horizontal="center"/>
      <protection locked="0"/>
    </xf>
    <xf numFmtId="15" fontId="22" fillId="6" borderId="1" xfId="0" applyNumberFormat="1" applyFont="1" applyFill="1" applyBorder="1" applyAlignment="1" applyProtection="1">
      <alignment horizontal="center"/>
      <protection locked="0"/>
    </xf>
    <xf numFmtId="0" fontId="22" fillId="6" borderId="1" xfId="0" applyFont="1" applyFill="1" applyBorder="1" applyAlignment="1" applyProtection="1">
      <alignment horizontal="center"/>
      <protection locked="0"/>
    </xf>
    <xf numFmtId="0" fontId="18" fillId="0" borderId="1" xfId="0" applyFont="1" applyFill="1" applyBorder="1" applyProtection="1">
      <protection locked="0"/>
    </xf>
    <xf numFmtId="0" fontId="18" fillId="0" borderId="12" xfId="0" applyFont="1" applyFill="1" applyBorder="1" applyProtection="1">
      <protection locked="0"/>
    </xf>
    <xf numFmtId="43" fontId="23" fillId="7" borderId="26" xfId="1" applyNumberFormat="1" applyFont="1" applyFill="1" applyBorder="1" applyProtection="1">
      <protection locked="0"/>
    </xf>
    <xf numFmtId="43" fontId="22" fillId="7" borderId="1" xfId="1" applyFont="1" applyFill="1" applyBorder="1" applyProtection="1"/>
    <xf numFmtId="43" fontId="22" fillId="6" borderId="1" xfId="1" applyFont="1" applyFill="1" applyBorder="1" applyProtection="1"/>
    <xf numFmtId="0" fontId="31" fillId="0" borderId="1" xfId="0" applyFont="1" applyFill="1" applyBorder="1" applyProtection="1">
      <protection locked="0"/>
    </xf>
    <xf numFmtId="0" fontId="31" fillId="0" borderId="2" xfId="0" applyFont="1" applyFill="1" applyBorder="1" applyProtection="1">
      <protection locked="0"/>
    </xf>
    <xf numFmtId="1" fontId="31" fillId="0" borderId="1" xfId="0" applyNumberFormat="1" applyFont="1" applyFill="1" applyBorder="1" applyProtection="1">
      <protection locked="0"/>
    </xf>
    <xf numFmtId="0" fontId="26" fillId="0" borderId="12" xfId="0" applyFont="1" applyFill="1" applyBorder="1" applyProtection="1">
      <protection locked="0"/>
    </xf>
    <xf numFmtId="9" fontId="26" fillId="5" borderId="7" xfId="0" applyNumberFormat="1" applyFont="1" applyFill="1" applyBorder="1" applyAlignment="1" applyProtection="1">
      <alignment horizontal="right"/>
      <protection locked="0"/>
    </xf>
    <xf numFmtId="0" fontId="22" fillId="2" borderId="1" xfId="0" applyFont="1" applyFill="1" applyBorder="1" applyAlignment="1" applyProtection="1">
      <protection locked="0"/>
    </xf>
    <xf numFmtId="0" fontId="22" fillId="5" borderId="1" xfId="0" applyFont="1" applyFill="1" applyBorder="1" applyAlignment="1" applyProtection="1">
      <protection locked="0"/>
    </xf>
    <xf numFmtId="0" fontId="22" fillId="6" borderId="1" xfId="0" applyFont="1" applyFill="1" applyBorder="1" applyAlignment="1" applyProtection="1">
      <protection locked="0"/>
    </xf>
    <xf numFmtId="0" fontId="22" fillId="0" borderId="1" xfId="0" applyFont="1" applyFill="1" applyBorder="1" applyAlignment="1" applyProtection="1">
      <protection locked="0"/>
    </xf>
    <xf numFmtId="0" fontId="22" fillId="2" borderId="1" xfId="0" applyFont="1" applyFill="1" applyBorder="1" applyAlignment="1" applyProtection="1">
      <alignment horizontal="left"/>
      <protection locked="0"/>
    </xf>
    <xf numFmtId="0" fontId="22" fillId="5" borderId="1" xfId="0" applyFont="1" applyFill="1" applyBorder="1" applyAlignment="1" applyProtection="1">
      <alignment horizontal="left"/>
      <protection locked="0"/>
    </xf>
    <xf numFmtId="0" fontId="22" fillId="6" borderId="1" xfId="0" applyFont="1" applyFill="1" applyBorder="1" applyAlignment="1" applyProtection="1">
      <alignment horizontal="left"/>
      <protection locked="0"/>
    </xf>
    <xf numFmtId="43" fontId="23" fillId="7" borderId="26" xfId="1" applyNumberFormat="1" applyFont="1" applyFill="1" applyBorder="1" applyProtection="1"/>
    <xf numFmtId="0" fontId="23" fillId="0" borderId="9" xfId="0" applyFont="1" applyFill="1" applyBorder="1" applyAlignment="1" applyProtection="1">
      <alignment horizontal="left"/>
    </xf>
    <xf numFmtId="43" fontId="23" fillId="0" borderId="9" xfId="1" applyNumberFormat="1" applyFont="1" applyFill="1" applyBorder="1" applyProtection="1"/>
    <xf numFmtId="43" fontId="23" fillId="0" borderId="25" xfId="1" applyNumberFormat="1" applyFont="1" applyFill="1" applyBorder="1" applyProtection="1"/>
    <xf numFmtId="43" fontId="23" fillId="0" borderId="28" xfId="1" applyNumberFormat="1" applyFont="1" applyFill="1" applyBorder="1" applyProtection="1"/>
    <xf numFmtId="43" fontId="23" fillId="7" borderId="11" xfId="1" applyNumberFormat="1" applyFont="1" applyFill="1" applyBorder="1" applyAlignment="1" applyProtection="1">
      <alignment horizontal="right"/>
    </xf>
    <xf numFmtId="43" fontId="23" fillId="0" borderId="0" xfId="1" applyNumberFormat="1" applyFont="1" applyFill="1" applyBorder="1" applyAlignment="1" applyProtection="1">
      <alignment horizontal="right"/>
    </xf>
    <xf numFmtId="43" fontId="23" fillId="12" borderId="25" xfId="1" applyNumberFormat="1" applyFont="1" applyFill="1" applyBorder="1" applyAlignment="1" applyProtection="1">
      <alignment horizontal="left"/>
    </xf>
    <xf numFmtId="43" fontId="23" fillId="7" borderId="11" xfId="1" applyNumberFormat="1" applyFont="1" applyFill="1" applyBorder="1" applyProtection="1"/>
    <xf numFmtId="43" fontId="21" fillId="0" borderId="0" xfId="1" applyNumberFormat="1" applyFont="1" applyFill="1" applyBorder="1" applyAlignment="1" applyProtection="1">
      <alignment horizontal="left"/>
    </xf>
    <xf numFmtId="43" fontId="20" fillId="12" borderId="25" xfId="1" applyNumberFormat="1" applyFont="1" applyFill="1" applyBorder="1" applyAlignment="1" applyProtection="1">
      <alignment horizontal="left"/>
    </xf>
    <xf numFmtId="43" fontId="28" fillId="13" borderId="35" xfId="1" applyNumberFormat="1" applyFont="1" applyFill="1" applyBorder="1" applyAlignment="1" applyProtection="1">
      <alignment horizontal="left"/>
    </xf>
    <xf numFmtId="43" fontId="20" fillId="7" borderId="26" xfId="1" applyNumberFormat="1" applyFont="1" applyFill="1" applyBorder="1" applyProtection="1"/>
    <xf numFmtId="43" fontId="28" fillId="13" borderId="26" xfId="1" applyNumberFormat="1" applyFont="1" applyFill="1" applyBorder="1" applyProtection="1"/>
    <xf numFmtId="43" fontId="20" fillId="0" borderId="11" xfId="1" applyNumberFormat="1" applyFont="1" applyFill="1" applyBorder="1" applyProtection="1"/>
    <xf numFmtId="0" fontId="18" fillId="0" borderId="0" xfId="0" applyFont="1" applyFill="1" applyBorder="1" applyProtection="1"/>
    <xf numFmtId="43" fontId="20" fillId="12" borderId="11" xfId="1" applyNumberFormat="1" applyFont="1" applyFill="1" applyBorder="1" applyAlignment="1" applyProtection="1">
      <alignment horizontal="left"/>
    </xf>
    <xf numFmtId="43" fontId="20" fillId="7" borderId="35" xfId="1" applyNumberFormat="1" applyFont="1" applyFill="1" applyBorder="1" applyProtection="1"/>
    <xf numFmtId="0" fontId="18" fillId="0" borderId="11" xfId="0" applyFont="1" applyFill="1" applyBorder="1" applyProtection="1"/>
    <xf numFmtId="43" fontId="23" fillId="7" borderId="17" xfId="1" applyNumberFormat="1" applyFont="1" applyFill="1" applyBorder="1" applyAlignment="1" applyProtection="1">
      <alignment horizontal="right"/>
    </xf>
    <xf numFmtId="43" fontId="23" fillId="7" borderId="17" xfId="1" applyNumberFormat="1" applyFont="1" applyFill="1" applyBorder="1" applyProtection="1"/>
    <xf numFmtId="43" fontId="23" fillId="9" borderId="17" xfId="1" applyNumberFormat="1" applyFont="1" applyFill="1" applyBorder="1" applyProtection="1"/>
    <xf numFmtId="43" fontId="23" fillId="8" borderId="11" xfId="1" applyNumberFormat="1" applyFont="1" applyFill="1" applyBorder="1" applyProtection="1"/>
    <xf numFmtId="43" fontId="23" fillId="4" borderId="11" xfId="1" applyNumberFormat="1" applyFont="1" applyFill="1" applyBorder="1" applyProtection="1"/>
    <xf numFmtId="0" fontId="19" fillId="0" borderId="0" xfId="0" applyFont="1" applyFill="1" applyProtection="1"/>
    <xf numFmtId="0" fontId="21" fillId="0" borderId="0" xfId="0" applyFont="1" applyFill="1" applyBorder="1" applyAlignment="1" applyProtection="1">
      <alignment horizontal="left"/>
    </xf>
    <xf numFmtId="43" fontId="18" fillId="0" borderId="0" xfId="1" applyNumberFormat="1" applyFont="1" applyFill="1" applyBorder="1" applyProtection="1"/>
    <xf numFmtId="43" fontId="27" fillId="0" borderId="0" xfId="1" applyFont="1" applyFill="1" applyBorder="1" applyProtection="1"/>
    <xf numFmtId="17" fontId="27" fillId="0" borderId="0" xfId="0" applyNumberFormat="1" applyFont="1" applyFill="1" applyBorder="1" applyProtection="1"/>
    <xf numFmtId="43" fontId="18" fillId="0" borderId="0" xfId="1" applyFont="1" applyFill="1" applyBorder="1" applyProtection="1"/>
    <xf numFmtId="1" fontId="18" fillId="0" borderId="0" xfId="0" applyNumberFormat="1" applyFont="1" applyFill="1" applyBorder="1" applyProtection="1"/>
    <xf numFmtId="0" fontId="24" fillId="0" borderId="0" xfId="0" applyFont="1" applyFill="1" applyBorder="1" applyProtection="1"/>
    <xf numFmtId="0" fontId="24" fillId="0" borderId="0" xfId="0" applyFont="1" applyFill="1" applyBorder="1" applyAlignment="1" applyProtection="1">
      <alignment horizontal="left"/>
    </xf>
    <xf numFmtId="0" fontId="18" fillId="0" borderId="0" xfId="0" applyFont="1" applyFill="1" applyBorder="1" applyAlignment="1" applyProtection="1">
      <alignment horizontal="left"/>
    </xf>
    <xf numFmtId="166" fontId="20"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left"/>
    </xf>
    <xf numFmtId="1" fontId="21" fillId="0" borderId="0" xfId="2" applyNumberFormat="1" applyFont="1" applyFill="1" applyBorder="1" applyAlignment="1" applyProtection="1">
      <alignment horizontal="left"/>
    </xf>
    <xf numFmtId="43" fontId="18" fillId="0" borderId="0" xfId="1" applyNumberFormat="1" applyFont="1" applyFill="1" applyBorder="1" applyAlignment="1" applyProtection="1">
      <alignment horizontal="center"/>
    </xf>
    <xf numFmtId="1" fontId="18" fillId="0" borderId="0" xfId="0" applyNumberFormat="1" applyFont="1" applyFill="1" applyBorder="1" applyAlignment="1" applyProtection="1">
      <alignment horizontal="center"/>
    </xf>
    <xf numFmtId="0" fontId="28" fillId="16" borderId="1" xfId="0" applyFont="1" applyFill="1" applyBorder="1" applyAlignment="1" applyProtection="1">
      <alignment horizontal="center"/>
    </xf>
    <xf numFmtId="0" fontId="28" fillId="16" borderId="1" xfId="0" applyFont="1" applyFill="1" applyBorder="1" applyAlignment="1" applyProtection="1">
      <alignment horizontal="left"/>
    </xf>
    <xf numFmtId="1" fontId="28" fillId="16" borderId="1" xfId="2" applyNumberFormat="1" applyFont="1" applyFill="1" applyBorder="1" applyAlignment="1" applyProtection="1">
      <alignment horizontal="left"/>
    </xf>
    <xf numFmtId="43" fontId="28" fillId="16" borderId="1" xfId="1" applyNumberFormat="1" applyFont="1" applyFill="1" applyBorder="1" applyAlignment="1" applyProtection="1">
      <alignment horizontal="center"/>
    </xf>
    <xf numFmtId="1" fontId="28" fillId="16" borderId="1" xfId="1" applyNumberFormat="1" applyFont="1" applyFill="1" applyBorder="1" applyAlignment="1" applyProtection="1">
      <alignment horizontal="center"/>
    </xf>
    <xf numFmtId="43" fontId="28" fillId="16" borderId="1" xfId="1" applyFont="1" applyFill="1" applyBorder="1" applyProtection="1"/>
    <xf numFmtId="166" fontId="29" fillId="16" borderId="1" xfId="1" applyNumberFormat="1" applyFont="1" applyFill="1" applyBorder="1" applyAlignment="1" applyProtection="1">
      <alignment horizontal="center"/>
    </xf>
    <xf numFmtId="0" fontId="21" fillId="0" borderId="0" xfId="0" applyFont="1" applyFill="1" applyBorder="1" applyProtection="1"/>
    <xf numFmtId="0" fontId="23" fillId="3" borderId="1" xfId="0" applyFont="1" applyFill="1" applyBorder="1" applyAlignment="1" applyProtection="1">
      <alignment horizontal="center"/>
    </xf>
    <xf numFmtId="0" fontId="23" fillId="3" borderId="1" xfId="0" applyFont="1" applyFill="1" applyBorder="1" applyAlignment="1" applyProtection="1">
      <alignment horizontal="left"/>
    </xf>
    <xf numFmtId="0" fontId="20" fillId="3" borderId="1" xfId="0" applyFont="1" applyFill="1" applyBorder="1" applyAlignment="1" applyProtection="1">
      <alignment horizontal="left"/>
    </xf>
    <xf numFmtId="1" fontId="23" fillId="3" borderId="1" xfId="2" applyNumberFormat="1" applyFont="1" applyFill="1" applyBorder="1" applyAlignment="1" applyProtection="1">
      <alignment horizontal="left"/>
    </xf>
    <xf numFmtId="1" fontId="20" fillId="3" borderId="1" xfId="1" applyNumberFormat="1" applyFont="1" applyFill="1" applyBorder="1" applyAlignment="1" applyProtection="1">
      <alignment horizontal="center"/>
    </xf>
    <xf numFmtId="43" fontId="20" fillId="3" borderId="1" xfId="1" applyFont="1" applyFill="1" applyBorder="1" applyProtection="1"/>
    <xf numFmtId="166" fontId="18" fillId="5" borderId="1" xfId="1" applyNumberFormat="1" applyFont="1" applyFill="1" applyBorder="1" applyAlignment="1" applyProtection="1">
      <alignment horizontal="center"/>
    </xf>
    <xf numFmtId="15" fontId="22" fillId="6" borderId="1" xfId="0" applyNumberFormat="1" applyFont="1" applyFill="1" applyBorder="1" applyAlignment="1" applyProtection="1">
      <alignment horizontal="center"/>
    </xf>
    <xf numFmtId="0" fontId="22" fillId="6" borderId="1" xfId="0" applyFont="1" applyFill="1" applyBorder="1" applyAlignment="1" applyProtection="1">
      <alignment horizontal="center"/>
    </xf>
    <xf numFmtId="0" fontId="22" fillId="6" borderId="1" xfId="0" applyNumberFormat="1" applyFont="1" applyFill="1" applyBorder="1" applyAlignment="1" applyProtection="1">
      <alignment horizontal="left"/>
    </xf>
    <xf numFmtId="43" fontId="22" fillId="6" borderId="1" xfId="1" applyNumberFormat="1" applyFont="1" applyFill="1" applyBorder="1" applyAlignment="1" applyProtection="1">
      <alignment horizontal="center"/>
    </xf>
    <xf numFmtId="0" fontId="18" fillId="5" borderId="1" xfId="0" applyFont="1" applyFill="1" applyBorder="1" applyProtection="1"/>
    <xf numFmtId="0" fontId="30" fillId="0" borderId="0" xfId="0" applyFont="1" applyFill="1" applyBorder="1" applyProtection="1"/>
    <xf numFmtId="15" fontId="22" fillId="2" borderId="1" xfId="0" applyNumberFormat="1" applyFont="1" applyFill="1" applyBorder="1" applyAlignment="1" applyProtection="1">
      <alignment horizontal="center"/>
    </xf>
    <xf numFmtId="43" fontId="22" fillId="7" borderId="1" xfId="1" applyNumberFormat="1" applyFont="1" applyFill="1" applyBorder="1" applyAlignment="1" applyProtection="1">
      <alignment horizontal="center"/>
    </xf>
    <xf numFmtId="9" fontId="18" fillId="5" borderId="1" xfId="2" applyFont="1" applyFill="1" applyBorder="1" applyProtection="1"/>
    <xf numFmtId="2" fontId="23" fillId="5" borderId="1" xfId="0" applyNumberFormat="1" applyFont="1" applyFill="1" applyBorder="1" applyProtection="1"/>
    <xf numFmtId="15" fontId="22" fillId="5" borderId="1" xfId="0" applyNumberFormat="1" applyFont="1" applyFill="1" applyBorder="1" applyAlignment="1" applyProtection="1">
      <alignment horizontal="center"/>
    </xf>
    <xf numFmtId="9" fontId="23" fillId="5" borderId="1" xfId="2" applyFont="1" applyFill="1" applyBorder="1" applyProtection="1"/>
    <xf numFmtId="1" fontId="23" fillId="5" borderId="1" xfId="2" applyNumberFormat="1" applyFont="1" applyFill="1" applyBorder="1" applyAlignment="1" applyProtection="1">
      <alignment horizontal="left"/>
    </xf>
    <xf numFmtId="0" fontId="23" fillId="0" borderId="6" xfId="0" applyFont="1" applyFill="1" applyBorder="1" applyProtection="1"/>
    <xf numFmtId="0" fontId="23" fillId="0" borderId="9" xfId="0" applyFont="1" applyFill="1" applyBorder="1" applyAlignment="1" applyProtection="1">
      <alignment horizontal="center"/>
    </xf>
    <xf numFmtId="1" fontId="23" fillId="0" borderId="9" xfId="0" applyNumberFormat="1" applyFont="1" applyFill="1" applyBorder="1" applyProtection="1"/>
    <xf numFmtId="0" fontId="23" fillId="0" borderId="0" xfId="0" applyFont="1" applyFill="1" applyBorder="1" applyProtection="1"/>
    <xf numFmtId="0" fontId="23" fillId="0" borderId="0" xfId="0" applyFont="1" applyFill="1" applyBorder="1" applyAlignment="1" applyProtection="1">
      <alignment horizontal="left"/>
    </xf>
    <xf numFmtId="0" fontId="23" fillId="0" borderId="0" xfId="0" applyFont="1" applyFill="1" applyBorder="1" applyAlignment="1" applyProtection="1">
      <alignment horizontal="center"/>
    </xf>
    <xf numFmtId="0" fontId="32" fillId="0" borderId="0" xfId="0" applyFont="1" applyFill="1" applyBorder="1" applyProtection="1"/>
    <xf numFmtId="43" fontId="23" fillId="0" borderId="0" xfId="1" applyNumberFormat="1" applyFont="1" applyFill="1" applyBorder="1" applyProtection="1"/>
    <xf numFmtId="1" fontId="23" fillId="0" borderId="0" xfId="0" applyNumberFormat="1" applyFont="1" applyFill="1" applyBorder="1" applyProtection="1"/>
    <xf numFmtId="0" fontId="18" fillId="0" borderId="0" xfId="0" applyFont="1" applyFill="1" applyBorder="1" applyAlignment="1" applyProtection="1">
      <alignment horizontal="center"/>
    </xf>
    <xf numFmtId="0" fontId="23" fillId="12" borderId="3" xfId="0" applyFont="1" applyFill="1" applyBorder="1" applyAlignment="1" applyProtection="1">
      <alignment horizontal="left"/>
    </xf>
    <xf numFmtId="0" fontId="23" fillId="12" borderId="4" xfId="0" applyFont="1" applyFill="1" applyBorder="1" applyAlignment="1" applyProtection="1">
      <alignment horizontal="left"/>
    </xf>
    <xf numFmtId="0" fontId="23" fillId="12" borderId="23" xfId="0" applyFont="1" applyFill="1" applyBorder="1" applyAlignment="1" applyProtection="1">
      <alignment horizontal="left"/>
    </xf>
    <xf numFmtId="43" fontId="32" fillId="0" borderId="0" xfId="1" applyFont="1" applyFill="1" applyBorder="1" applyProtection="1"/>
    <xf numFmtId="0" fontId="31" fillId="0" borderId="0" xfId="0" applyFont="1" applyFill="1" applyBorder="1" applyProtection="1"/>
    <xf numFmtId="0" fontId="21" fillId="0" borderId="8" xfId="0" applyFont="1" applyFill="1" applyBorder="1" applyAlignment="1" applyProtection="1">
      <alignment horizontal="left"/>
    </xf>
    <xf numFmtId="0" fontId="18" fillId="0" borderId="12" xfId="0" applyFont="1" applyFill="1" applyBorder="1" applyProtection="1"/>
    <xf numFmtId="0" fontId="18" fillId="0" borderId="8" xfId="0" applyFont="1" applyFill="1" applyBorder="1" applyProtection="1"/>
    <xf numFmtId="43" fontId="31" fillId="13" borderId="36" xfId="1" applyFont="1" applyFill="1" applyBorder="1" applyProtection="1"/>
    <xf numFmtId="0" fontId="31" fillId="13" borderId="37" xfId="0" applyFont="1" applyFill="1" applyBorder="1" applyProtection="1"/>
    <xf numFmtId="0" fontId="31" fillId="13" borderId="38" xfId="0" applyFont="1" applyFill="1" applyBorder="1" applyProtection="1"/>
    <xf numFmtId="0" fontId="31" fillId="13" borderId="0" xfId="0" applyFont="1" applyFill="1" applyBorder="1" applyProtection="1"/>
    <xf numFmtId="43" fontId="31" fillId="13" borderId="39" xfId="1" applyFont="1" applyFill="1" applyBorder="1" applyProtection="1"/>
    <xf numFmtId="0" fontId="31" fillId="13" borderId="40" xfId="0" applyFont="1" applyFill="1" applyBorder="1" applyProtection="1"/>
    <xf numFmtId="0" fontId="20" fillId="0" borderId="0" xfId="0" applyFont="1" applyFill="1" applyBorder="1" applyAlignment="1" applyProtection="1">
      <alignment horizontal="left"/>
    </xf>
    <xf numFmtId="0" fontId="20" fillId="0" borderId="0" xfId="0" applyFont="1" applyFill="1" applyBorder="1" applyAlignment="1" applyProtection="1">
      <alignment horizontal="center"/>
    </xf>
    <xf numFmtId="0" fontId="18" fillId="0" borderId="18" xfId="0" applyFont="1" applyFill="1" applyBorder="1" applyProtection="1"/>
    <xf numFmtId="0" fontId="31" fillId="13" borderId="41" xfId="0" applyFont="1" applyFill="1" applyBorder="1" applyProtection="1"/>
    <xf numFmtId="0" fontId="31" fillId="13" borderId="42" xfId="0" applyFont="1" applyFill="1" applyBorder="1" applyProtection="1"/>
    <xf numFmtId="0" fontId="31" fillId="13" borderId="43" xfId="0" applyFont="1" applyFill="1" applyBorder="1" applyProtection="1"/>
    <xf numFmtId="0" fontId="20" fillId="0" borderId="0" xfId="0" applyFont="1" applyFill="1" applyBorder="1" applyProtection="1"/>
    <xf numFmtId="0" fontId="18" fillId="0" borderId="27" xfId="0" applyFont="1" applyFill="1" applyBorder="1" applyProtection="1"/>
    <xf numFmtId="0" fontId="23" fillId="0" borderId="3" xfId="0" applyFont="1" applyFill="1" applyBorder="1" applyAlignment="1" applyProtection="1">
      <alignment horizontal="left"/>
    </xf>
    <xf numFmtId="0" fontId="18" fillId="0" borderId="4" xfId="0" applyFont="1" applyFill="1" applyBorder="1" applyProtection="1"/>
    <xf numFmtId="0" fontId="18" fillId="0" borderId="23" xfId="0" applyFont="1" applyFill="1" applyBorder="1" applyProtection="1"/>
    <xf numFmtId="0" fontId="18" fillId="0" borderId="5" xfId="0" applyFont="1" applyFill="1" applyBorder="1" applyProtection="1"/>
    <xf numFmtId="0" fontId="18" fillId="0" borderId="2" xfId="0" applyFont="1" applyFill="1" applyBorder="1" applyProtection="1"/>
    <xf numFmtId="0" fontId="20" fillId="0" borderId="16" xfId="0" applyFont="1" applyFill="1" applyBorder="1" applyProtection="1"/>
    <xf numFmtId="0" fontId="23" fillId="0" borderId="15" xfId="0" applyFont="1" applyFill="1" applyBorder="1" applyProtection="1"/>
    <xf numFmtId="0" fontId="18" fillId="0" borderId="15" xfId="0" applyFont="1" applyFill="1" applyBorder="1" applyProtection="1"/>
    <xf numFmtId="1" fontId="32" fillId="0" borderId="0" xfId="0" applyNumberFormat="1" applyFont="1" applyFill="1" applyBorder="1" applyProtection="1"/>
    <xf numFmtId="0" fontId="20" fillId="12" borderId="4" xfId="0" applyFont="1" applyFill="1" applyBorder="1" applyAlignment="1" applyProtection="1">
      <alignment horizontal="left"/>
    </xf>
    <xf numFmtId="1" fontId="20" fillId="0" borderId="0" xfId="0" applyNumberFormat="1" applyFont="1" applyFill="1" applyBorder="1" applyProtection="1"/>
    <xf numFmtId="0" fontId="20" fillId="0" borderId="6" xfId="0" applyFont="1" applyFill="1" applyBorder="1" applyAlignment="1" applyProtection="1">
      <alignment horizontal="left"/>
    </xf>
    <xf numFmtId="0" fontId="18" fillId="0" borderId="9" xfId="0" applyFont="1" applyFill="1" applyBorder="1" applyProtection="1"/>
    <xf numFmtId="0" fontId="18" fillId="0" borderId="10" xfId="0" applyFont="1" applyFill="1" applyBorder="1" applyProtection="1"/>
    <xf numFmtId="0" fontId="20" fillId="12" borderId="3" xfId="0" applyFont="1" applyFill="1" applyBorder="1" applyAlignment="1" applyProtection="1">
      <alignment horizontal="left"/>
    </xf>
    <xf numFmtId="0" fontId="20" fillId="12" borderId="23" xfId="0" applyFont="1" applyFill="1" applyBorder="1" applyAlignment="1" applyProtection="1">
      <alignment horizontal="left"/>
    </xf>
    <xf numFmtId="0" fontId="25" fillId="0" borderId="0" xfId="0" applyFont="1" applyFill="1" applyBorder="1" applyProtection="1"/>
    <xf numFmtId="0" fontId="28" fillId="13" borderId="29" xfId="0" applyFont="1" applyFill="1" applyBorder="1" applyAlignment="1" applyProtection="1">
      <alignment horizontal="left"/>
    </xf>
    <xf numFmtId="0" fontId="28" fillId="13" borderId="32" xfId="0" applyFont="1" applyFill="1" applyBorder="1" applyAlignment="1" applyProtection="1">
      <alignment horizontal="left"/>
    </xf>
    <xf numFmtId="0" fontId="28" fillId="13" borderId="34" xfId="0" applyFont="1" applyFill="1" applyBorder="1" applyAlignment="1" applyProtection="1">
      <alignment horizontal="left"/>
    </xf>
    <xf numFmtId="0" fontId="18" fillId="0" borderId="29" xfId="0" applyFont="1" applyFill="1" applyBorder="1" applyProtection="1"/>
    <xf numFmtId="0" fontId="29" fillId="13" borderId="12" xfId="0" applyFont="1" applyFill="1" applyBorder="1" applyProtection="1"/>
    <xf numFmtId="0" fontId="26" fillId="0" borderId="0" xfId="0" applyFont="1" applyFill="1" applyBorder="1" applyProtection="1"/>
    <xf numFmtId="1" fontId="18" fillId="0" borderId="1" xfId="0" applyNumberFormat="1" applyFont="1" applyFill="1" applyBorder="1" applyProtection="1"/>
    <xf numFmtId="0" fontId="31" fillId="0" borderId="9" xfId="0" applyFont="1" applyFill="1" applyBorder="1" applyProtection="1"/>
    <xf numFmtId="0" fontId="20" fillId="12" borderId="6" xfId="0" applyFont="1" applyFill="1" applyBorder="1" applyAlignment="1" applyProtection="1">
      <alignment horizontal="left"/>
    </xf>
    <xf numFmtId="0" fontId="20" fillId="12" borderId="9" xfId="0" applyFont="1" applyFill="1" applyBorder="1" applyAlignment="1" applyProtection="1">
      <alignment horizontal="left"/>
    </xf>
    <xf numFmtId="0" fontId="20" fillId="12" borderId="10" xfId="0" applyFont="1" applyFill="1" applyBorder="1" applyAlignment="1" applyProtection="1">
      <alignment horizontal="left"/>
    </xf>
    <xf numFmtId="0" fontId="20" fillId="0" borderId="29" xfId="0" applyFont="1" applyFill="1" applyBorder="1" applyAlignment="1" applyProtection="1">
      <alignment horizontal="left"/>
    </xf>
    <xf numFmtId="0" fontId="18" fillId="0" borderId="34" xfId="0" applyFont="1" applyFill="1" applyBorder="1" applyProtection="1"/>
    <xf numFmtId="43" fontId="20" fillId="0" borderId="0" xfId="1" applyNumberFormat="1" applyFont="1" applyFill="1" applyBorder="1" applyProtection="1"/>
    <xf numFmtId="0" fontId="28" fillId="15" borderId="6" xfId="0" applyFont="1" applyFill="1" applyBorder="1" applyAlignment="1" applyProtection="1">
      <alignment horizontal="left"/>
    </xf>
    <xf numFmtId="0" fontId="28" fillId="15" borderId="9" xfId="0" applyFont="1" applyFill="1" applyBorder="1" applyAlignment="1" applyProtection="1">
      <alignment horizontal="left"/>
    </xf>
    <xf numFmtId="0" fontId="28" fillId="15" borderId="10" xfId="0" applyFont="1" applyFill="1" applyBorder="1" applyAlignment="1" applyProtection="1">
      <alignment horizontal="left"/>
    </xf>
    <xf numFmtId="43" fontId="28" fillId="15" borderId="11" xfId="1" applyNumberFormat="1" applyFont="1" applyFill="1" applyBorder="1" applyAlignment="1" applyProtection="1">
      <alignment horizontal="left"/>
    </xf>
    <xf numFmtId="0" fontId="18" fillId="0" borderId="32" xfId="0" applyFont="1" applyFill="1" applyBorder="1" applyProtection="1"/>
    <xf numFmtId="0" fontId="20" fillId="14" borderId="3" xfId="0" applyFont="1" applyFill="1" applyBorder="1" applyAlignment="1" applyProtection="1">
      <alignment horizontal="left"/>
    </xf>
    <xf numFmtId="0" fontId="20" fillId="14" borderId="4" xfId="0" applyFont="1" applyFill="1" applyBorder="1" applyAlignment="1" applyProtection="1">
      <alignment horizontal="left"/>
    </xf>
    <xf numFmtId="0" fontId="20" fillId="14" borderId="23" xfId="0" applyFont="1" applyFill="1" applyBorder="1" applyAlignment="1" applyProtection="1">
      <alignment horizontal="left"/>
    </xf>
    <xf numFmtId="43" fontId="20" fillId="14" borderId="25" xfId="1" applyNumberFormat="1" applyFont="1" applyFill="1" applyBorder="1" applyAlignment="1" applyProtection="1">
      <alignment horizontal="left"/>
    </xf>
    <xf numFmtId="0" fontId="23" fillId="6" borderId="6" xfId="0" applyFont="1" applyFill="1" applyBorder="1" applyAlignment="1" applyProtection="1">
      <alignment horizontal="left"/>
    </xf>
    <xf numFmtId="0" fontId="23" fillId="6" borderId="9" xfId="0" applyFont="1" applyFill="1" applyBorder="1" applyAlignment="1" applyProtection="1">
      <alignment horizontal="left"/>
    </xf>
    <xf numFmtId="43" fontId="23" fillId="6" borderId="14" xfId="1" applyNumberFormat="1" applyFont="1" applyFill="1" applyBorder="1" applyAlignment="1" applyProtection="1">
      <alignment horizontal="left"/>
    </xf>
    <xf numFmtId="0" fontId="23" fillId="5" borderId="18" xfId="0" applyFont="1" applyFill="1" applyBorder="1" applyAlignment="1" applyProtection="1">
      <alignment horizontal="left"/>
    </xf>
    <xf numFmtId="0" fontId="21" fillId="5" borderId="24" xfId="0" applyFont="1" applyFill="1" applyBorder="1" applyAlignment="1" applyProtection="1">
      <alignment horizontal="left"/>
    </xf>
    <xf numFmtId="0" fontId="20" fillId="5" borderId="6" xfId="0" applyFont="1" applyFill="1" applyBorder="1" applyAlignment="1" applyProtection="1">
      <alignment horizontal="left"/>
    </xf>
    <xf numFmtId="0" fontId="26" fillId="5" borderId="9" xfId="0" applyFont="1" applyFill="1" applyBorder="1" applyProtection="1"/>
    <xf numFmtId="0" fontId="21" fillId="5" borderId="10" xfId="0" applyFont="1" applyFill="1" applyBorder="1" applyAlignment="1" applyProtection="1">
      <alignment horizontal="left"/>
    </xf>
    <xf numFmtId="0" fontId="20" fillId="9" borderId="18" xfId="0" applyFont="1" applyFill="1" applyBorder="1" applyAlignment="1" applyProtection="1">
      <alignment horizontal="left"/>
    </xf>
    <xf numFmtId="0" fontId="26" fillId="9" borderId="9" xfId="0" applyFont="1" applyFill="1" applyBorder="1" applyProtection="1"/>
    <xf numFmtId="0" fontId="21" fillId="9" borderId="10" xfId="0" applyFont="1" applyFill="1" applyBorder="1" applyAlignment="1" applyProtection="1">
      <alignment horizontal="left"/>
    </xf>
    <xf numFmtId="9" fontId="20" fillId="0" borderId="1" xfId="2" applyFont="1" applyFill="1" applyBorder="1" applyAlignment="1" applyProtection="1">
      <alignment horizontal="left"/>
    </xf>
    <xf numFmtId="0" fontId="23" fillId="0" borderId="16" xfId="0" applyFont="1" applyFill="1" applyBorder="1" applyAlignment="1" applyProtection="1">
      <alignment horizontal="left" indent="1"/>
    </xf>
    <xf numFmtId="0" fontId="26" fillId="0" borderId="9" xfId="0" applyFont="1" applyFill="1" applyBorder="1" applyProtection="1"/>
    <xf numFmtId="0" fontId="18" fillId="0" borderId="14" xfId="0" applyFont="1" applyFill="1" applyBorder="1" applyProtection="1"/>
    <xf numFmtId="2" fontId="23" fillId="0" borderId="0" xfId="0" applyNumberFormat="1" applyFont="1" applyFill="1" applyBorder="1" applyAlignment="1" applyProtection="1">
      <alignment horizontal="left"/>
    </xf>
    <xf numFmtId="0" fontId="20" fillId="0" borderId="16" xfId="0" applyFont="1" applyFill="1" applyBorder="1" applyAlignment="1" applyProtection="1">
      <alignment horizontal="left" indent="1"/>
    </xf>
    <xf numFmtId="0" fontId="20" fillId="5" borderId="16" xfId="0" applyFont="1" applyFill="1" applyBorder="1" applyAlignment="1" applyProtection="1">
      <alignment horizontal="left" indent="1"/>
    </xf>
    <xf numFmtId="0" fontId="18" fillId="5" borderId="14" xfId="0" applyFont="1" applyFill="1" applyBorder="1" applyProtection="1"/>
    <xf numFmtId="0" fontId="20" fillId="0" borderId="16" xfId="0" applyFont="1" applyFill="1" applyBorder="1" applyAlignment="1" applyProtection="1">
      <alignment horizontal="left"/>
    </xf>
    <xf numFmtId="0" fontId="21" fillId="0" borderId="10" xfId="0" applyFont="1" applyFill="1" applyBorder="1" applyAlignment="1" applyProtection="1">
      <alignment horizontal="left"/>
    </xf>
    <xf numFmtId="43" fontId="23" fillId="10" borderId="11" xfId="1" applyNumberFormat="1" applyFont="1" applyFill="1" applyBorder="1" applyProtection="1"/>
    <xf numFmtId="0" fontId="20" fillId="11" borderId="6" xfId="0" applyFont="1" applyFill="1" applyBorder="1" applyAlignment="1" applyProtection="1">
      <alignment horizontal="left"/>
    </xf>
    <xf numFmtId="0" fontId="26" fillId="11" borderId="9" xfId="0" applyFont="1" applyFill="1" applyBorder="1" applyProtection="1"/>
    <xf numFmtId="0" fontId="21" fillId="11" borderId="10" xfId="0" applyFont="1" applyFill="1" applyBorder="1" applyAlignment="1" applyProtection="1">
      <alignment horizontal="left"/>
    </xf>
    <xf numFmtId="43" fontId="23" fillId="11" borderId="11" xfId="1" applyNumberFormat="1" applyFont="1" applyFill="1" applyBorder="1" applyProtection="1"/>
    <xf numFmtId="0" fontId="20" fillId="9" borderId="16" xfId="0" applyFont="1" applyFill="1" applyBorder="1" applyAlignment="1" applyProtection="1">
      <alignment horizontal="left"/>
    </xf>
    <xf numFmtId="0" fontId="18" fillId="9" borderId="14" xfId="0" applyFont="1" applyFill="1" applyBorder="1" applyProtection="1"/>
    <xf numFmtId="0" fontId="26" fillId="0" borderId="0" xfId="0" applyFont="1" applyFill="1" applyBorder="1" applyAlignment="1" applyProtection="1">
      <alignment horizontal="left"/>
    </xf>
    <xf numFmtId="43" fontId="23" fillId="0" borderId="11" xfId="1" applyNumberFormat="1" applyFont="1" applyFill="1" applyBorder="1" applyProtection="1"/>
    <xf numFmtId="0" fontId="20" fillId="8" borderId="6" xfId="0" applyFont="1" applyFill="1" applyBorder="1" applyAlignment="1" applyProtection="1">
      <alignment horizontal="left"/>
    </xf>
    <xf numFmtId="0" fontId="26" fillId="8" borderId="9" xfId="0" applyFont="1" applyFill="1" applyBorder="1" applyProtection="1"/>
    <xf numFmtId="0" fontId="21" fillId="8" borderId="10" xfId="0" applyFont="1" applyFill="1" applyBorder="1" applyAlignment="1" applyProtection="1">
      <alignment horizontal="left"/>
    </xf>
    <xf numFmtId="0" fontId="23" fillId="0" borderId="6" xfId="0" applyFont="1" applyFill="1" applyBorder="1" applyAlignment="1" applyProtection="1">
      <alignment horizontal="left"/>
    </xf>
    <xf numFmtId="0" fontId="23" fillId="0" borderId="10" xfId="0" applyFont="1" applyFill="1" applyBorder="1" applyAlignment="1" applyProtection="1">
      <alignment horizontal="left"/>
    </xf>
    <xf numFmtId="0" fontId="23" fillId="0" borderId="13" xfId="0" applyFont="1" applyFill="1" applyBorder="1" applyAlignment="1" applyProtection="1">
      <alignment horizontal="left"/>
    </xf>
    <xf numFmtId="0" fontId="23" fillId="0" borderId="21" xfId="0" applyFont="1" applyFill="1" applyBorder="1" applyAlignment="1" applyProtection="1">
      <alignment horizontal="left"/>
    </xf>
    <xf numFmtId="0" fontId="23" fillId="0" borderId="22" xfId="0" applyFont="1" applyFill="1" applyBorder="1" applyAlignment="1" applyProtection="1">
      <alignment horizontal="left"/>
    </xf>
    <xf numFmtId="0" fontId="23" fillId="6" borderId="30" xfId="0" applyFont="1" applyFill="1" applyBorder="1" applyAlignment="1" applyProtection="1">
      <alignment horizontal="left"/>
    </xf>
    <xf numFmtId="0" fontId="23" fillId="6" borderId="31" xfId="0" applyFont="1" applyFill="1" applyBorder="1" applyAlignment="1" applyProtection="1">
      <alignment horizontal="left"/>
    </xf>
    <xf numFmtId="0" fontId="21" fillId="0" borderId="9" xfId="0" applyFont="1" applyFill="1" applyBorder="1" applyAlignment="1" applyProtection="1">
      <alignment horizontal="left"/>
    </xf>
    <xf numFmtId="0" fontId="20" fillId="0" borderId="30" xfId="0" applyFont="1" applyFill="1" applyBorder="1" applyAlignment="1" applyProtection="1">
      <alignment horizontal="left"/>
    </xf>
    <xf numFmtId="0" fontId="21" fillId="0" borderId="31" xfId="0" applyFont="1" applyFill="1" applyBorder="1" applyAlignment="1" applyProtection="1">
      <alignment horizontal="left"/>
    </xf>
    <xf numFmtId="43" fontId="18" fillId="0" borderId="0" xfId="0" applyNumberFormat="1" applyFont="1" applyFill="1" applyBorder="1" applyProtection="1"/>
    <xf numFmtId="0" fontId="21" fillId="0" borderId="1" xfId="0" applyFont="1" applyFill="1" applyBorder="1" applyAlignment="1" applyProtection="1">
      <alignment horizontal="left"/>
    </xf>
    <xf numFmtId="0" fontId="21" fillId="0" borderId="32" xfId="0" applyFont="1" applyFill="1" applyBorder="1" applyAlignment="1" applyProtection="1">
      <alignment horizontal="left"/>
    </xf>
    <xf numFmtId="0" fontId="20" fillId="0" borderId="19" xfId="0" applyFont="1" applyFill="1" applyBorder="1" applyAlignment="1" applyProtection="1">
      <alignment horizontal="left"/>
    </xf>
    <xf numFmtId="0" fontId="21" fillId="0" borderId="20" xfId="0" applyFont="1" applyFill="1" applyBorder="1" applyAlignment="1" applyProtection="1">
      <alignment horizontal="left"/>
    </xf>
    <xf numFmtId="0" fontId="20" fillId="0" borderId="5" xfId="0" applyFont="1" applyFill="1" applyBorder="1" applyAlignment="1" applyProtection="1">
      <alignment horizontal="left"/>
    </xf>
    <xf numFmtId="0" fontId="21" fillId="0" borderId="2" xfId="0" applyFont="1" applyFill="1" applyBorder="1" applyAlignment="1" applyProtection="1">
      <alignment horizontal="left"/>
    </xf>
    <xf numFmtId="1" fontId="22" fillId="6" borderId="1" xfId="0" applyNumberFormat="1" applyFont="1" applyFill="1" applyBorder="1" applyAlignment="1" applyProtection="1">
      <alignment horizontal="center"/>
      <protection locked="0"/>
    </xf>
    <xf numFmtId="1" fontId="22" fillId="2" borderId="1" xfId="0" applyNumberFormat="1" applyFont="1" applyFill="1" applyBorder="1" applyAlignment="1" applyProtection="1">
      <alignment horizontal="center"/>
      <protection locked="0"/>
    </xf>
    <xf numFmtId="1" fontId="21" fillId="6" borderId="1" xfId="0" applyNumberFormat="1" applyFont="1" applyFill="1" applyBorder="1" applyAlignment="1" applyProtection="1">
      <alignment horizontal="center"/>
      <protection locked="0"/>
    </xf>
    <xf numFmtId="0" fontId="29" fillId="13" borderId="1" xfId="0" applyFont="1" applyFill="1" applyBorder="1" applyProtection="1">
      <protection locked="0"/>
    </xf>
    <xf numFmtId="0" fontId="31" fillId="13" borderId="1" xfId="0" applyFont="1" applyFill="1" applyBorder="1" applyProtection="1">
      <protection locked="0"/>
    </xf>
    <xf numFmtId="0" fontId="31" fillId="0" borderId="32" xfId="0" applyFont="1" applyFill="1" applyBorder="1" applyProtection="1">
      <protection locked="0"/>
    </xf>
    <xf numFmtId="0" fontId="26" fillId="0" borderId="9" xfId="0" applyFont="1" applyFill="1" applyBorder="1" applyProtection="1">
      <protection locked="0"/>
    </xf>
    <xf numFmtId="0" fontId="18" fillId="0" borderId="34" xfId="0" applyFont="1" applyFill="1" applyBorder="1" applyProtection="1">
      <protection locked="0"/>
    </xf>
    <xf numFmtId="0" fontId="22" fillId="2" borderId="1" xfId="0" applyFont="1" applyFill="1" applyBorder="1" applyAlignment="1" applyProtection="1">
      <alignment horizontal="center"/>
    </xf>
    <xf numFmtId="0" fontId="22" fillId="5" borderId="1" xfId="0" applyFont="1" applyFill="1" applyBorder="1" applyAlignment="1" applyProtection="1">
      <alignment horizontal="center"/>
    </xf>
    <xf numFmtId="0" fontId="22" fillId="6" borderId="1" xfId="0" applyFont="1" applyFill="1" applyBorder="1" applyAlignment="1" applyProtection="1">
      <alignment horizontal="left"/>
    </xf>
    <xf numFmtId="0" fontId="22" fillId="0" borderId="1" xfId="0" applyFont="1" applyFill="1" applyBorder="1" applyAlignment="1" applyProtection="1">
      <alignment horizontal="left"/>
    </xf>
    <xf numFmtId="43" fontId="23" fillId="17" borderId="17" xfId="1" applyNumberFormat="1" applyFont="1" applyFill="1" applyBorder="1" applyProtection="1">
      <protection locked="0"/>
    </xf>
    <xf numFmtId="0" fontId="31" fillId="0" borderId="12" xfId="0" applyFont="1" applyFill="1" applyBorder="1" applyProtection="1"/>
    <xf numFmtId="0" fontId="18" fillId="0" borderId="24" xfId="0" applyFont="1" applyFill="1" applyBorder="1" applyProtection="1"/>
    <xf numFmtId="0" fontId="34" fillId="0" borderId="0" xfId="0" applyFont="1" applyFill="1" applyBorder="1" applyAlignment="1" applyProtection="1">
      <alignment horizontal="left"/>
      <protection locked="0"/>
    </xf>
    <xf numFmtId="0" fontId="33" fillId="0" borderId="11" xfId="0" applyFont="1" applyFill="1" applyBorder="1" applyAlignment="1" applyProtection="1">
      <alignment horizontal="left"/>
      <protection locked="0"/>
    </xf>
    <xf numFmtId="0" fontId="28" fillId="18" borderId="6" xfId="0" applyFont="1" applyFill="1" applyBorder="1" applyAlignment="1" applyProtection="1">
      <alignment horizontal="left"/>
    </xf>
    <xf numFmtId="0" fontId="28" fillId="18" borderId="9" xfId="0" applyFont="1" applyFill="1" applyBorder="1" applyAlignment="1" applyProtection="1">
      <alignment horizontal="left"/>
    </xf>
    <xf numFmtId="0" fontId="28" fillId="18" borderId="10" xfId="0" applyFont="1" applyFill="1" applyBorder="1" applyAlignment="1" applyProtection="1">
      <alignment horizontal="left"/>
    </xf>
    <xf numFmtId="43" fontId="28" fillId="18" borderId="11" xfId="1" applyNumberFormat="1" applyFont="1" applyFill="1" applyBorder="1" applyAlignment="1" applyProtection="1">
      <alignment horizontal="left"/>
    </xf>
    <xf numFmtId="0" fontId="33" fillId="0" borderId="11" xfId="0" applyFont="1" applyFill="1" applyBorder="1" applyAlignment="1" applyProtection="1">
      <protection locked="0"/>
    </xf>
    <xf numFmtId="43" fontId="20" fillId="7" borderId="26" xfId="1" applyNumberFormat="1" applyFont="1" applyFill="1" applyBorder="1" applyProtection="1"/>
    <xf numFmtId="43" fontId="18" fillId="0" borderId="0" xfId="1" applyFont="1" applyFill="1" applyBorder="1" applyProtection="1"/>
    <xf numFmtId="43" fontId="32" fillId="0" borderId="0" xfId="1" applyFont="1" applyFill="1" applyBorder="1" applyProtection="1"/>
    <xf numFmtId="165" fontId="20" fillId="0" borderId="11" xfId="0" applyNumberFormat="1" applyFont="1" applyFill="1" applyBorder="1" applyAlignment="1" applyProtection="1">
      <alignment horizontal="left"/>
    </xf>
    <xf numFmtId="0" fontId="18" fillId="0" borderId="0" xfId="1" applyNumberFormat="1" applyFont="1" applyFill="1" applyBorder="1" applyProtection="1"/>
    <xf numFmtId="165" fontId="18" fillId="0" borderId="0" xfId="1" applyNumberFormat="1" applyFont="1" applyFill="1" applyBorder="1" applyProtection="1"/>
    <xf numFmtId="0" fontId="22" fillId="0" borderId="1" xfId="0" applyFont="1" applyFill="1" applyBorder="1" applyAlignment="1" applyProtection="1">
      <alignment horizontal="left"/>
      <protection locked="0"/>
    </xf>
    <xf numFmtId="0" fontId="22" fillId="0" borderId="1" xfId="0" applyFont="1" applyFill="1" applyBorder="1" applyAlignment="1" applyProtection="1">
      <alignment horizontal="center"/>
      <protection locked="0"/>
    </xf>
    <xf numFmtId="1" fontId="23" fillId="0" borderId="33" xfId="0" applyNumberFormat="1" applyFont="1" applyFill="1" applyBorder="1" applyAlignment="1" applyProtection="1">
      <alignment horizontal="left"/>
    </xf>
    <xf numFmtId="43" fontId="23" fillId="7" borderId="44" xfId="1" applyNumberFormat="1" applyFont="1" applyFill="1" applyBorder="1" applyProtection="1"/>
    <xf numFmtId="43" fontId="23" fillId="9" borderId="11" xfId="1" applyNumberFormat="1" applyFont="1" applyFill="1" applyBorder="1" applyProtection="1"/>
    <xf numFmtId="0" fontId="31" fillId="0" borderId="27" xfId="0" applyFont="1" applyFill="1" applyBorder="1" applyProtection="1"/>
    <xf numFmtId="10" fontId="20" fillId="18" borderId="11" xfId="2" applyNumberFormat="1" applyFont="1" applyFill="1" applyBorder="1" applyAlignment="1" applyProtection="1">
      <alignment horizontal="right"/>
    </xf>
    <xf numFmtId="0" fontId="28" fillId="20" borderId="6" xfId="0" applyFont="1" applyFill="1" applyBorder="1" applyAlignment="1" applyProtection="1">
      <alignment horizontal="left"/>
    </xf>
    <xf numFmtId="0" fontId="28" fillId="20" borderId="9" xfId="0" applyFont="1" applyFill="1" applyBorder="1" applyAlignment="1" applyProtection="1">
      <alignment horizontal="left"/>
    </xf>
    <xf numFmtId="0" fontId="28" fillId="20" borderId="10" xfId="0" applyFont="1" applyFill="1" applyBorder="1" applyAlignment="1" applyProtection="1">
      <alignment horizontal="left"/>
    </xf>
    <xf numFmtId="43" fontId="28" fillId="20" borderId="11" xfId="1" applyNumberFormat="1" applyFont="1" applyFill="1" applyBorder="1" applyAlignment="1" applyProtection="1">
      <alignment horizontal="left"/>
    </xf>
    <xf numFmtId="0" fontId="20" fillId="19" borderId="6" xfId="0" applyFont="1" applyFill="1" applyBorder="1" applyAlignment="1" applyProtection="1">
      <alignment horizontal="left"/>
    </xf>
    <xf numFmtId="0" fontId="26" fillId="19" borderId="9" xfId="0" applyFont="1" applyFill="1" applyBorder="1" applyProtection="1"/>
    <xf numFmtId="0" fontId="21" fillId="19" borderId="10" xfId="0" applyFont="1" applyFill="1" applyBorder="1" applyAlignment="1" applyProtection="1">
      <alignment horizontal="left"/>
    </xf>
    <xf numFmtId="43" fontId="23" fillId="19" borderId="11" xfId="1" applyNumberFormat="1" applyFont="1" applyFill="1" applyBorder="1" applyProtection="1"/>
    <xf numFmtId="9" fontId="20" fillId="0" borderId="11" xfId="2" applyFont="1" applyFill="1" applyBorder="1" applyProtection="1"/>
    <xf numFmtId="43" fontId="20" fillId="11" borderId="28" xfId="1" applyNumberFormat="1" applyFont="1" applyFill="1" applyBorder="1" applyProtection="1"/>
    <xf numFmtId="0" fontId="18" fillId="11" borderId="5" xfId="0" applyFont="1" applyFill="1" applyBorder="1" applyProtection="1"/>
    <xf numFmtId="0" fontId="31" fillId="11" borderId="2" xfId="0" applyFont="1" applyFill="1" applyBorder="1" applyProtection="1">
      <protection locked="0"/>
    </xf>
    <xf numFmtId="0" fontId="18" fillId="11" borderId="27" xfId="0" applyFont="1" applyFill="1" applyBorder="1" applyProtection="1">
      <protection locked="0"/>
    </xf>
    <xf numFmtId="0" fontId="18" fillId="0" borderId="5" xfId="0" applyFont="1" applyFill="1" applyBorder="1" applyAlignment="1" applyProtection="1">
      <alignment horizontal="left"/>
    </xf>
    <xf numFmtId="0" fontId="20" fillId="6" borderId="0" xfId="0" applyFont="1" applyFill="1" applyBorder="1" applyProtection="1"/>
    <xf numFmtId="0" fontId="18" fillId="6" borderId="0" xfId="0" applyFont="1" applyFill="1" applyBorder="1" applyProtection="1"/>
    <xf numFmtId="43" fontId="18" fillId="6" borderId="0" xfId="1" applyFont="1" applyFill="1" applyBorder="1" applyProtection="1"/>
    <xf numFmtId="15" fontId="21" fillId="6" borderId="1" xfId="0" applyNumberFormat="1" applyFont="1" applyFill="1" applyBorder="1" applyAlignment="1" applyProtection="1">
      <alignment horizontal="center"/>
    </xf>
    <xf numFmtId="0" fontId="21" fillId="6" borderId="1" xfId="0" applyFont="1" applyFill="1" applyBorder="1" applyAlignment="1" applyProtection="1">
      <alignment horizontal="center"/>
    </xf>
    <xf numFmtId="0" fontId="18" fillId="6" borderId="1" xfId="0" applyFont="1" applyFill="1" applyBorder="1" applyAlignment="1" applyProtection="1">
      <alignment horizontal="left"/>
      <protection locked="0"/>
    </xf>
    <xf numFmtId="0" fontId="18" fillId="6" borderId="1" xfId="0" applyFont="1" applyFill="1" applyBorder="1" applyAlignment="1" applyProtection="1">
      <protection locked="0"/>
    </xf>
    <xf numFmtId="43" fontId="21" fillId="6" borderId="1" xfId="1" applyNumberFormat="1" applyFont="1" applyFill="1" applyBorder="1" applyAlignment="1" applyProtection="1">
      <alignment horizontal="center"/>
    </xf>
    <xf numFmtId="43" fontId="21" fillId="6" borderId="1" xfId="1" applyFont="1" applyFill="1" applyBorder="1" applyProtection="1"/>
    <xf numFmtId="0" fontId="28" fillId="21" borderId="6" xfId="0" applyFont="1" applyFill="1" applyBorder="1" applyAlignment="1" applyProtection="1">
      <alignment horizontal="left"/>
    </xf>
    <xf numFmtId="0" fontId="28" fillId="21" borderId="9" xfId="0" applyFont="1" applyFill="1" applyBorder="1" applyAlignment="1" applyProtection="1">
      <alignment horizontal="left"/>
    </xf>
    <xf numFmtId="0" fontId="28" fillId="21" borderId="10" xfId="0" applyFont="1" applyFill="1" applyBorder="1" applyAlignment="1" applyProtection="1">
      <alignment horizontal="left"/>
    </xf>
    <xf numFmtId="43" fontId="28" fillId="21" borderId="11" xfId="1" applyNumberFormat="1" applyFont="1" applyFill="1" applyBorder="1" applyAlignment="1" applyProtection="1">
      <alignment horizontal="left"/>
    </xf>
    <xf numFmtId="0" fontId="30" fillId="9" borderId="16" xfId="0" applyFont="1" applyFill="1" applyBorder="1" applyProtection="1"/>
    <xf numFmtId="0" fontId="30" fillId="9" borderId="17" xfId="0" applyFont="1" applyFill="1" applyBorder="1" applyProtection="1"/>
    <xf numFmtId="43" fontId="18" fillId="0" borderId="1" xfId="1" applyFont="1" applyFill="1" applyBorder="1" applyProtection="1"/>
    <xf numFmtId="0" fontId="32" fillId="0" borderId="1" xfId="0" applyFont="1" applyFill="1" applyBorder="1" applyProtection="1"/>
    <xf numFmtId="0" fontId="25" fillId="0" borderId="1" xfId="0" applyFont="1" applyFill="1" applyBorder="1" applyProtection="1"/>
    <xf numFmtId="0" fontId="18" fillId="0" borderId="1" xfId="0" applyFont="1" applyFill="1" applyBorder="1" applyProtection="1"/>
    <xf numFmtId="165" fontId="18" fillId="0" borderId="1" xfId="0" applyNumberFormat="1" applyFont="1" applyFill="1" applyBorder="1" applyProtection="1"/>
    <xf numFmtId="43" fontId="18" fillId="0" borderId="32" xfId="1" applyFont="1" applyFill="1" applyBorder="1" applyProtection="1"/>
    <xf numFmtId="49" fontId="27" fillId="0" borderId="11" xfId="1" applyNumberFormat="1" applyFont="1" applyFill="1" applyBorder="1" applyProtection="1"/>
    <xf numFmtId="0" fontId="35" fillId="0" borderId="11" xfId="0" applyFont="1" applyFill="1" applyBorder="1" applyProtection="1"/>
    <xf numFmtId="9" fontId="35" fillId="0" borderId="11" xfId="0" applyNumberFormat="1" applyFont="1" applyFill="1" applyBorder="1" applyProtection="1"/>
    <xf numFmtId="0" fontId="23" fillId="6" borderId="45" xfId="0" applyFont="1" applyFill="1" applyBorder="1" applyAlignment="1" applyProtection="1">
      <alignment horizontal="left"/>
    </xf>
    <xf numFmtId="0" fontId="21" fillId="0" borderId="45" xfId="0" applyFont="1" applyFill="1" applyBorder="1" applyAlignment="1" applyProtection="1">
      <alignment horizontal="left"/>
    </xf>
    <xf numFmtId="0" fontId="21" fillId="0" borderId="12" xfId="0" applyFont="1" applyFill="1" applyBorder="1" applyAlignment="1" applyProtection="1">
      <alignment horizontal="left"/>
    </xf>
    <xf numFmtId="0" fontId="21" fillId="0" borderId="34" xfId="0" applyFont="1" applyFill="1" applyBorder="1" applyAlignment="1" applyProtection="1">
      <alignment horizontal="left"/>
    </xf>
    <xf numFmtId="0" fontId="21" fillId="0" borderId="46" xfId="0" applyFont="1" applyFill="1" applyBorder="1" applyAlignment="1" applyProtection="1">
      <alignment horizontal="left"/>
    </xf>
    <xf numFmtId="0" fontId="21" fillId="0" borderId="27" xfId="0" applyFont="1" applyFill="1" applyBorder="1" applyAlignment="1" applyProtection="1">
      <alignment horizontal="left"/>
    </xf>
    <xf numFmtId="43" fontId="23" fillId="6" borderId="44" xfId="1" applyNumberFormat="1" applyFont="1" applyFill="1" applyBorder="1" applyAlignment="1" applyProtection="1">
      <alignment horizontal="left"/>
    </xf>
    <xf numFmtId="43" fontId="18" fillId="7" borderId="26" xfId="1" applyFont="1" applyFill="1" applyBorder="1" applyProtection="1"/>
    <xf numFmtId="43" fontId="23" fillId="7" borderId="35" xfId="1" applyNumberFormat="1" applyFont="1" applyFill="1" applyBorder="1" applyProtection="1"/>
    <xf numFmtId="43" fontId="23" fillId="7" borderId="47" xfId="1" applyNumberFormat="1" applyFont="1" applyFill="1" applyBorder="1" applyProtection="1"/>
    <xf numFmtId="10" fontId="23" fillId="19" borderId="28" xfId="2" applyNumberFormat="1" applyFont="1" applyFill="1" applyBorder="1" applyAlignment="1" applyProtection="1">
      <alignment horizontal="right"/>
    </xf>
    <xf numFmtId="0" fontId="18" fillId="10" borderId="12" xfId="0" applyFont="1" applyFill="1" applyBorder="1" applyProtection="1">
      <protection locked="0"/>
    </xf>
    <xf numFmtId="0" fontId="20" fillId="0" borderId="1" xfId="0" applyFont="1" applyFill="1" applyBorder="1" applyProtection="1"/>
    <xf numFmtId="43" fontId="20" fillId="0" borderId="1" xfId="1" applyFont="1" applyFill="1" applyBorder="1" applyProtection="1"/>
    <xf numFmtId="9" fontId="35" fillId="0" borderId="11" xfId="2" applyFont="1" applyFill="1" applyBorder="1" applyProtection="1"/>
    <xf numFmtId="0" fontId="20" fillId="0" borderId="13" xfId="0" applyFont="1" applyFill="1" applyBorder="1" applyAlignment="1" applyProtection="1">
      <alignment horizontal="left"/>
    </xf>
    <xf numFmtId="166" fontId="19" fillId="0" borderId="0" xfId="1" applyNumberFormat="1" applyFont="1" applyFill="1" applyBorder="1" applyAlignment="1" applyProtection="1">
      <alignment horizontal="left"/>
    </xf>
    <xf numFmtId="15" fontId="22" fillId="10" borderId="1" xfId="0" applyNumberFormat="1" applyFont="1" applyFill="1" applyBorder="1" applyAlignment="1" applyProtection="1">
      <alignment horizontal="center"/>
    </xf>
    <xf numFmtId="0" fontId="22" fillId="10" borderId="1" xfId="0" applyFont="1" applyFill="1" applyBorder="1" applyAlignment="1" applyProtection="1">
      <alignment horizontal="center"/>
    </xf>
    <xf numFmtId="0" fontId="22" fillId="10" borderId="1" xfId="0" applyFont="1" applyFill="1" applyBorder="1" applyAlignment="1" applyProtection="1">
      <protection locked="0"/>
    </xf>
    <xf numFmtId="0" fontId="22" fillId="10" borderId="1" xfId="0" applyFont="1" applyFill="1" applyBorder="1" applyAlignment="1" applyProtection="1">
      <alignment horizontal="left"/>
      <protection locked="0"/>
    </xf>
    <xf numFmtId="0" fontId="22" fillId="10" borderId="1" xfId="0" applyFont="1" applyFill="1" applyBorder="1" applyAlignment="1" applyProtection="1">
      <alignment horizontal="left"/>
    </xf>
    <xf numFmtId="0" fontId="22" fillId="10" borderId="1" xfId="0" applyFont="1" applyFill="1" applyBorder="1" applyAlignment="1" applyProtection="1">
      <alignment horizontal="center"/>
      <protection locked="0"/>
    </xf>
    <xf numFmtId="43" fontId="22" fillId="10" borderId="1" xfId="1" applyNumberFormat="1" applyFont="1" applyFill="1" applyBorder="1" applyAlignment="1" applyProtection="1">
      <alignment horizontal="center"/>
    </xf>
    <xf numFmtId="0" fontId="21" fillId="10" borderId="1" xfId="0" applyFont="1" applyFill="1" applyBorder="1" applyAlignment="1" applyProtection="1">
      <alignment horizontal="center"/>
      <protection locked="0"/>
    </xf>
    <xf numFmtId="1" fontId="21" fillId="10" borderId="1" xfId="0" applyNumberFormat="1" applyFont="1" applyFill="1" applyBorder="1" applyAlignment="1" applyProtection="1">
      <alignment horizontal="center"/>
      <protection locked="0"/>
    </xf>
    <xf numFmtId="43" fontId="22" fillId="10" borderId="1" xfId="1" applyFont="1" applyFill="1" applyBorder="1" applyProtection="1"/>
    <xf numFmtId="0" fontId="18" fillId="10" borderId="24" xfId="0" applyFont="1" applyFill="1" applyBorder="1" applyProtection="1"/>
    <xf numFmtId="43" fontId="23" fillId="6" borderId="26" xfId="1" applyNumberFormat="1" applyFont="1" applyFill="1" applyBorder="1" applyProtection="1"/>
    <xf numFmtId="43" fontId="20" fillId="6" borderId="26" xfId="1" applyNumberFormat="1" applyFont="1" applyFill="1" applyBorder="1" applyProtection="1"/>
    <xf numFmtId="165" fontId="18" fillId="0" borderId="0" xfId="0" applyNumberFormat="1" applyFont="1" applyFill="1" applyBorder="1" applyProtection="1"/>
    <xf numFmtId="0" fontId="18" fillId="19" borderId="8" xfId="0" applyFont="1" applyFill="1" applyBorder="1" applyProtection="1"/>
    <xf numFmtId="0" fontId="30" fillId="19" borderId="0" xfId="0" applyFont="1" applyFill="1" applyBorder="1" applyProtection="1"/>
    <xf numFmtId="0" fontId="26" fillId="22" borderId="0" xfId="0" applyFont="1" applyFill="1" applyBorder="1" applyProtection="1"/>
    <xf numFmtId="0" fontId="42" fillId="0" borderId="0" xfId="0" applyFont="1" applyFill="1" applyBorder="1" applyAlignment="1" applyProtection="1">
      <alignment vertical="center"/>
    </xf>
    <xf numFmtId="168" fontId="42" fillId="0" borderId="0" xfId="0" applyNumberFormat="1" applyFont="1" applyFill="1" applyBorder="1" applyAlignment="1" applyProtection="1">
      <alignment vertical="center"/>
    </xf>
    <xf numFmtId="0" fontId="42" fillId="5" borderId="1" xfId="0" applyFont="1" applyFill="1" applyBorder="1" applyAlignment="1" applyProtection="1">
      <alignment vertical="center"/>
    </xf>
    <xf numFmtId="0" fontId="42" fillId="5" borderId="1" xfId="0" applyFont="1" applyFill="1" applyBorder="1" applyAlignment="1" applyProtection="1">
      <alignment vertical="center"/>
      <protection locked="0"/>
    </xf>
    <xf numFmtId="0" fontId="42" fillId="0" borderId="36" xfId="0" applyFont="1" applyFill="1" applyBorder="1" applyAlignment="1" applyProtection="1">
      <alignment vertical="center"/>
      <protection locked="0"/>
    </xf>
    <xf numFmtId="0" fontId="42" fillId="0" borderId="37" xfId="0" applyFont="1" applyFill="1" applyBorder="1" applyAlignment="1" applyProtection="1">
      <alignment vertical="center"/>
      <protection locked="0"/>
    </xf>
    <xf numFmtId="43" fontId="42" fillId="0" borderId="37" xfId="1"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50" fillId="32" borderId="16" xfId="0" applyFont="1" applyFill="1" applyBorder="1" applyAlignment="1" applyProtection="1">
      <alignment vertical="center"/>
      <protection locked="0"/>
    </xf>
    <xf numFmtId="0" fontId="50" fillId="32" borderId="15" xfId="0" applyFont="1" applyFill="1" applyBorder="1" applyAlignment="1" applyProtection="1">
      <alignment vertical="center"/>
      <protection locked="0"/>
    </xf>
    <xf numFmtId="0" fontId="50" fillId="32" borderId="17"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42" fillId="0" borderId="0" xfId="0" applyFont="1" applyFill="1" applyBorder="1" applyAlignment="1" applyProtection="1">
      <alignment horizontal="left" vertical="center"/>
      <protection locked="0"/>
    </xf>
    <xf numFmtId="43" fontId="42" fillId="0" borderId="0" xfId="1" applyFont="1" applyFill="1" applyBorder="1" applyAlignment="1" applyProtection="1">
      <alignment vertical="center"/>
      <protection locked="0"/>
    </xf>
    <xf numFmtId="43" fontId="42" fillId="28" borderId="32" xfId="1" applyNumberFormat="1" applyFont="1" applyFill="1" applyBorder="1" applyAlignment="1" applyProtection="1">
      <alignment vertical="center"/>
      <protection locked="0"/>
    </xf>
    <xf numFmtId="0" fontId="42" fillId="0" borderId="40" xfId="0" applyFont="1" applyFill="1" applyBorder="1" applyAlignment="1" applyProtection="1">
      <alignment vertical="center"/>
      <protection locked="0"/>
    </xf>
    <xf numFmtId="43" fontId="42" fillId="28" borderId="2" xfId="1" applyNumberFormat="1" applyFont="1" applyFill="1" applyBorder="1" applyAlignment="1" applyProtection="1">
      <alignment vertical="center"/>
      <protection locked="0"/>
    </xf>
    <xf numFmtId="0" fontId="42" fillId="0" borderId="42" xfId="0" applyFont="1" applyFill="1" applyBorder="1" applyAlignment="1" applyProtection="1">
      <alignment vertical="center"/>
      <protection locked="0"/>
    </xf>
    <xf numFmtId="0" fontId="42" fillId="0" borderId="43" xfId="0" applyFont="1" applyFill="1" applyBorder="1" applyAlignment="1" applyProtection="1">
      <alignment vertical="center"/>
      <protection locked="0"/>
    </xf>
    <xf numFmtId="170" fontId="13" fillId="28" borderId="1" xfId="0" applyNumberFormat="1" applyFont="1" applyFill="1" applyBorder="1" applyProtection="1">
      <protection locked="0"/>
    </xf>
    <xf numFmtId="0" fontId="14" fillId="28" borderId="1" xfId="0" applyFont="1" applyFill="1" applyBorder="1" applyProtection="1">
      <protection locked="0"/>
    </xf>
    <xf numFmtId="168" fontId="13" fillId="28" borderId="1" xfId="5" applyNumberFormat="1" applyFont="1" applyFill="1" applyBorder="1" applyProtection="1">
      <protection locked="0"/>
    </xf>
    <xf numFmtId="168" fontId="42" fillId="0" borderId="0" xfId="0" applyNumberFormat="1" applyFont="1" applyFill="1" applyBorder="1" applyAlignment="1" applyProtection="1">
      <alignment vertical="center"/>
      <protection locked="0"/>
    </xf>
    <xf numFmtId="0" fontId="15" fillId="28" borderId="1" xfId="0" applyFont="1" applyFill="1" applyBorder="1" applyAlignment="1" applyProtection="1">
      <alignment vertical="center"/>
      <protection locked="0"/>
    </xf>
    <xf numFmtId="168" fontId="47" fillId="28" borderId="1" xfId="4" applyNumberFormat="1" applyFont="1" applyFill="1" applyBorder="1" applyAlignment="1" applyProtection="1">
      <alignment vertical="center"/>
      <protection locked="0"/>
    </xf>
    <xf numFmtId="168" fontId="47" fillId="28" borderId="50" xfId="4" applyNumberFormat="1" applyFont="1" applyFill="1" applyBorder="1" applyAlignment="1" applyProtection="1">
      <alignment vertical="center"/>
      <protection locked="0"/>
    </xf>
    <xf numFmtId="0" fontId="14" fillId="28" borderId="1" xfId="0" applyFont="1" applyFill="1" applyBorder="1" applyAlignment="1" applyProtection="1">
      <alignment vertical="center"/>
      <protection locked="0"/>
    </xf>
    <xf numFmtId="0" fontId="16" fillId="28" borderId="1" xfId="0" applyFont="1" applyFill="1" applyBorder="1" applyAlignment="1" applyProtection="1">
      <alignment vertical="center"/>
      <protection locked="0"/>
    </xf>
    <xf numFmtId="170" fontId="15" fillId="28" borderId="32" xfId="0" applyNumberFormat="1" applyFont="1" applyFill="1" applyBorder="1" applyAlignment="1" applyProtection="1">
      <alignment vertical="center"/>
      <protection locked="0"/>
    </xf>
    <xf numFmtId="0" fontId="16" fillId="28" borderId="18" xfId="0" applyFont="1" applyFill="1" applyBorder="1" applyAlignment="1" applyProtection="1">
      <alignment vertical="center"/>
      <protection locked="0"/>
    </xf>
    <xf numFmtId="0" fontId="16" fillId="28" borderId="7" xfId="0" applyFont="1" applyFill="1" applyBorder="1" applyAlignment="1" applyProtection="1">
      <alignment vertical="center"/>
      <protection locked="0"/>
    </xf>
    <xf numFmtId="168" fontId="47" fillId="28" borderId="7" xfId="4" applyNumberFormat="1" applyFont="1" applyFill="1" applyBorder="1" applyAlignment="1" applyProtection="1">
      <alignment vertical="center"/>
      <protection locked="0"/>
    </xf>
    <xf numFmtId="168" fontId="47" fillId="28" borderId="69" xfId="4" applyNumberFormat="1" applyFont="1" applyFill="1" applyBorder="1" applyAlignment="1" applyProtection="1">
      <alignment vertical="center"/>
      <protection locked="0"/>
    </xf>
    <xf numFmtId="0" fontId="16" fillId="28" borderId="2" xfId="0" applyFont="1" applyFill="1" applyBorder="1" applyAlignment="1" applyProtection="1">
      <alignment vertical="center"/>
      <protection locked="0"/>
    </xf>
    <xf numFmtId="168" fontId="47" fillId="28" borderId="2" xfId="4" applyNumberFormat="1" applyFont="1" applyFill="1" applyBorder="1" applyAlignment="1" applyProtection="1">
      <alignment vertical="center"/>
      <protection locked="0"/>
    </xf>
    <xf numFmtId="168" fontId="47" fillId="28" borderId="61" xfId="4" applyNumberFormat="1" applyFont="1" applyFill="1" applyBorder="1" applyAlignment="1" applyProtection="1">
      <alignment vertical="center"/>
      <protection locked="0"/>
    </xf>
    <xf numFmtId="0" fontId="39" fillId="7" borderId="11" xfId="0" applyFont="1" applyFill="1" applyBorder="1" applyAlignment="1" applyProtection="1">
      <alignment vertical="center"/>
      <protection locked="0"/>
    </xf>
    <xf numFmtId="0" fontId="39" fillId="7" borderId="59" xfId="0" applyFont="1" applyFill="1" applyBorder="1" applyAlignment="1" applyProtection="1">
      <alignment vertical="center"/>
      <protection locked="0"/>
    </xf>
    <xf numFmtId="0" fontId="39" fillId="7" borderId="65" xfId="0" applyFont="1" applyFill="1" applyBorder="1" applyAlignment="1" applyProtection="1">
      <alignment horizontal="right" vertical="center"/>
      <protection locked="0"/>
    </xf>
    <xf numFmtId="168" fontId="39" fillId="7" borderId="65" xfId="4" applyNumberFormat="1" applyFont="1" applyFill="1" applyBorder="1" applyAlignment="1" applyProtection="1">
      <alignment vertical="center"/>
      <protection locked="0"/>
    </xf>
    <xf numFmtId="168" fontId="39" fillId="7" borderId="43" xfId="4" applyNumberFormat="1" applyFont="1" applyFill="1" applyBorder="1" applyAlignment="1" applyProtection="1">
      <alignment vertical="center"/>
      <protection locked="0"/>
    </xf>
    <xf numFmtId="166" fontId="43" fillId="0" borderId="0" xfId="1"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right" vertical="center"/>
      <protection locked="0"/>
    </xf>
    <xf numFmtId="168" fontId="43" fillId="7" borderId="11" xfId="0" applyNumberFormat="1" applyFont="1" applyFill="1" applyBorder="1" applyAlignment="1" applyProtection="1">
      <alignment vertical="center"/>
      <protection locked="0"/>
    </xf>
    <xf numFmtId="0" fontId="42" fillId="20" borderId="44"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2" fillId="20" borderId="47" xfId="0" applyFont="1" applyFill="1" applyBorder="1" applyAlignment="1" applyProtection="1">
      <alignment vertical="center"/>
      <protection locked="0"/>
    </xf>
    <xf numFmtId="0" fontId="43" fillId="24" borderId="48" xfId="0" applyFont="1" applyFill="1" applyBorder="1" applyAlignment="1" applyProtection="1">
      <alignment horizontal="left" vertical="center"/>
      <protection locked="0"/>
    </xf>
    <xf numFmtId="0" fontId="40" fillId="16" borderId="0" xfId="0" applyFont="1" applyFill="1" applyBorder="1" applyAlignment="1" applyProtection="1">
      <alignment vertical="center"/>
      <protection locked="0"/>
    </xf>
    <xf numFmtId="0" fontId="40" fillId="16" borderId="40" xfId="0" applyFont="1" applyFill="1" applyBorder="1" applyAlignment="1" applyProtection="1">
      <alignment vertical="center"/>
      <protection locked="0"/>
    </xf>
    <xf numFmtId="0" fontId="42" fillId="0" borderId="56" xfId="0" applyFont="1" applyFill="1" applyBorder="1" applyAlignment="1" applyProtection="1">
      <alignment horizontal="left" vertical="center"/>
      <protection locked="0"/>
    </xf>
    <xf numFmtId="0" fontId="42" fillId="5" borderId="36" xfId="0" applyFont="1" applyFill="1" applyBorder="1" applyAlignment="1" applyProtection="1">
      <alignment vertical="center"/>
      <protection locked="0"/>
    </xf>
    <xf numFmtId="0" fontId="42" fillId="5" borderId="37" xfId="0" applyFont="1" applyFill="1" applyBorder="1" applyAlignment="1" applyProtection="1">
      <alignment vertical="center"/>
      <protection locked="0"/>
    </xf>
    <xf numFmtId="0" fontId="42" fillId="5" borderId="38" xfId="0" applyFont="1" applyFill="1" applyBorder="1" applyAlignment="1" applyProtection="1">
      <alignment vertical="center"/>
      <protection locked="0"/>
    </xf>
    <xf numFmtId="0" fontId="42" fillId="0" borderId="53" xfId="0" applyFont="1" applyFill="1" applyBorder="1" applyAlignment="1" applyProtection="1">
      <alignment vertical="center"/>
      <protection locked="0"/>
    </xf>
    <xf numFmtId="0" fontId="42" fillId="5" borderId="39" xfId="0" applyFont="1" applyFill="1" applyBorder="1" applyAlignment="1" applyProtection="1">
      <alignment vertical="center"/>
      <protection locked="0"/>
    </xf>
    <xf numFmtId="43" fontId="42" fillId="5" borderId="0" xfId="1" applyFont="1" applyFill="1" applyBorder="1" applyAlignment="1" applyProtection="1">
      <alignment vertical="center"/>
      <protection locked="0"/>
    </xf>
    <xf numFmtId="0" fontId="42" fillId="5" borderId="0" xfId="0" applyFont="1" applyFill="1" applyBorder="1" applyAlignment="1" applyProtection="1">
      <alignment vertical="center"/>
      <protection locked="0"/>
    </xf>
    <xf numFmtId="0" fontId="42" fillId="5" borderId="40" xfId="0" applyFont="1" applyFill="1" applyBorder="1" applyAlignment="1" applyProtection="1">
      <alignment vertical="center"/>
      <protection locked="0"/>
    </xf>
    <xf numFmtId="169" fontId="42" fillId="5" borderId="1" xfId="0" applyNumberFormat="1" applyFont="1" applyFill="1" applyBorder="1" applyAlignment="1" applyProtection="1">
      <alignment vertical="center"/>
      <protection locked="0"/>
    </xf>
    <xf numFmtId="0" fontId="42" fillId="0" borderId="60" xfId="0" applyFont="1" applyFill="1" applyBorder="1" applyAlignment="1" applyProtection="1">
      <alignment vertical="center"/>
      <protection locked="0"/>
    </xf>
    <xf numFmtId="0" fontId="42" fillId="0" borderId="57" xfId="0" applyFont="1" applyFill="1" applyBorder="1" applyAlignment="1" applyProtection="1">
      <alignment horizontal="left" vertical="center"/>
      <protection locked="0"/>
    </xf>
    <xf numFmtId="0" fontId="42" fillId="5" borderId="63" xfId="0" applyFont="1" applyFill="1" applyBorder="1" applyAlignment="1" applyProtection="1">
      <alignment vertical="center"/>
      <protection locked="0"/>
    </xf>
    <xf numFmtId="0" fontId="42" fillId="5" borderId="42" xfId="0" applyFont="1" applyFill="1" applyBorder="1" applyAlignment="1" applyProtection="1">
      <alignment vertical="center"/>
      <protection locked="0"/>
    </xf>
    <xf numFmtId="0" fontId="42" fillId="5" borderId="43" xfId="0" applyFont="1" applyFill="1" applyBorder="1" applyAlignment="1" applyProtection="1">
      <alignment vertical="center"/>
      <protection locked="0"/>
    </xf>
    <xf numFmtId="0" fontId="43" fillId="0" borderId="3" xfId="0" applyFont="1" applyFill="1" applyBorder="1" applyAlignment="1" applyProtection="1">
      <alignment horizontal="left" vertical="center"/>
      <protection locked="0"/>
    </xf>
    <xf numFmtId="0" fontId="42" fillId="0" borderId="5" xfId="0" applyFont="1" applyFill="1" applyBorder="1" applyAlignment="1" applyProtection="1">
      <alignment vertical="center"/>
      <protection locked="0"/>
    </xf>
    <xf numFmtId="0" fontId="42" fillId="0" borderId="57" xfId="0" applyFont="1" applyFill="1" applyBorder="1" applyAlignment="1" applyProtection="1">
      <alignment vertical="center"/>
      <protection locked="0"/>
    </xf>
    <xf numFmtId="0" fontId="43" fillId="0" borderId="51" xfId="0" applyFont="1" applyFill="1" applyBorder="1" applyAlignment="1" applyProtection="1">
      <alignment vertical="center"/>
      <protection locked="0"/>
    </xf>
    <xf numFmtId="0" fontId="42" fillId="0" borderId="56" xfId="0" applyFont="1" applyFill="1" applyBorder="1" applyAlignment="1" applyProtection="1">
      <alignment vertical="center"/>
      <protection locked="0"/>
    </xf>
    <xf numFmtId="0" fontId="43" fillId="0" borderId="39" xfId="0" applyFont="1" applyFill="1" applyBorder="1" applyAlignment="1" applyProtection="1">
      <alignment vertical="center"/>
      <protection locked="0"/>
    </xf>
    <xf numFmtId="0" fontId="43" fillId="0" borderId="51" xfId="0" applyFont="1" applyFill="1" applyBorder="1" applyAlignment="1" applyProtection="1">
      <alignment horizontal="left" vertical="center"/>
      <protection locked="0"/>
    </xf>
    <xf numFmtId="0" fontId="43" fillId="23" borderId="15" xfId="0" applyFont="1" applyFill="1" applyBorder="1" applyAlignment="1" applyProtection="1">
      <alignment vertical="center"/>
      <protection locked="0"/>
    </xf>
    <xf numFmtId="43" fontId="40" fillId="16" borderId="36" xfId="1" applyFont="1" applyFill="1" applyBorder="1" applyAlignment="1" applyProtection="1">
      <alignment vertical="center"/>
      <protection locked="0"/>
    </xf>
    <xf numFmtId="0" fontId="40" fillId="16" borderId="37" xfId="0" applyFont="1" applyFill="1" applyBorder="1" applyAlignment="1" applyProtection="1">
      <alignment vertical="center"/>
      <protection locked="0"/>
    </xf>
    <xf numFmtId="0" fontId="40" fillId="16" borderId="38" xfId="0" applyFont="1" applyFill="1" applyBorder="1" applyAlignment="1" applyProtection="1">
      <alignment vertical="center"/>
      <protection locked="0"/>
    </xf>
    <xf numFmtId="0" fontId="42" fillId="0" borderId="62" xfId="0" applyFont="1" applyFill="1" applyBorder="1" applyAlignment="1" applyProtection="1">
      <alignment vertical="center"/>
      <protection locked="0"/>
    </xf>
    <xf numFmtId="0" fontId="42" fillId="5" borderId="41" xfId="0" applyFont="1" applyFill="1" applyBorder="1" applyAlignment="1" applyProtection="1">
      <alignment vertical="center"/>
      <protection locked="0"/>
    </xf>
    <xf numFmtId="43" fontId="42" fillId="5" borderId="42" xfId="1" applyFont="1" applyFill="1" applyBorder="1" applyAlignment="1" applyProtection="1">
      <alignment vertical="center"/>
      <protection locked="0"/>
    </xf>
    <xf numFmtId="0" fontId="42" fillId="0" borderId="41" xfId="0" applyFont="1" applyFill="1" applyBorder="1" applyAlignment="1" applyProtection="1">
      <alignment vertical="center"/>
      <protection locked="0"/>
    </xf>
    <xf numFmtId="0" fontId="43" fillId="0" borderId="65" xfId="0" applyFont="1" applyFill="1" applyBorder="1" applyAlignment="1" applyProtection="1">
      <alignment horizontal="left" vertical="center"/>
      <protection locked="0"/>
    </xf>
    <xf numFmtId="0" fontId="42" fillId="20" borderId="36" xfId="0" applyFont="1" applyFill="1" applyBorder="1" applyAlignment="1" applyProtection="1">
      <alignment vertical="center"/>
      <protection locked="0"/>
    </xf>
    <xf numFmtId="0" fontId="37" fillId="20" borderId="16" xfId="0" applyFont="1" applyFill="1" applyBorder="1" applyAlignment="1" applyProtection="1">
      <alignment vertical="center"/>
      <protection locked="0"/>
    </xf>
    <xf numFmtId="0" fontId="42" fillId="20" borderId="39" xfId="0" applyFont="1" applyFill="1" applyBorder="1" applyAlignment="1" applyProtection="1">
      <alignment vertical="center"/>
      <protection locked="0"/>
    </xf>
    <xf numFmtId="0" fontId="43" fillId="24" borderId="62" xfId="0" applyFont="1" applyFill="1" applyBorder="1" applyAlignment="1" applyProtection="1">
      <alignment horizontal="left" vertical="center"/>
      <protection locked="0"/>
    </xf>
    <xf numFmtId="0" fontId="39" fillId="24" borderId="44" xfId="0" applyFont="1" applyFill="1" applyBorder="1" applyAlignment="1" applyProtection="1">
      <alignment horizontal="center" vertical="center" wrapText="1"/>
      <protection locked="0"/>
    </xf>
    <xf numFmtId="0" fontId="42" fillId="33" borderId="53" xfId="0" applyFont="1" applyFill="1" applyBorder="1" applyProtection="1">
      <protection locked="0"/>
    </xf>
    <xf numFmtId="9" fontId="42" fillId="0" borderId="0" xfId="0" applyNumberFormat="1" applyFont="1" applyFill="1" applyBorder="1" applyAlignment="1" applyProtection="1">
      <alignment vertical="center"/>
      <protection locked="0"/>
    </xf>
    <xf numFmtId="0" fontId="42" fillId="33" borderId="62" xfId="0" applyFont="1" applyFill="1" applyBorder="1" applyProtection="1">
      <protection locked="0"/>
    </xf>
    <xf numFmtId="0" fontId="43" fillId="0" borderId="16" xfId="0" applyFont="1" applyFill="1" applyBorder="1" applyAlignment="1" applyProtection="1">
      <alignment horizontal="left" vertical="center"/>
      <protection locked="0"/>
    </xf>
    <xf numFmtId="0" fontId="42" fillId="20" borderId="44" xfId="0" applyFont="1" applyFill="1" applyBorder="1" applyAlignment="1" applyProtection="1">
      <alignment horizontal="left" vertical="center"/>
      <protection locked="0"/>
    </xf>
    <xf numFmtId="0" fontId="42" fillId="20" borderId="47" xfId="0" applyFont="1" applyFill="1" applyBorder="1" applyAlignment="1" applyProtection="1">
      <alignment horizontal="left" vertical="center"/>
      <protection locked="0"/>
    </xf>
    <xf numFmtId="0" fontId="43" fillId="24" borderId="53" xfId="0" applyFont="1" applyFill="1" applyBorder="1" applyAlignment="1" applyProtection="1">
      <alignment horizontal="left" vertical="center"/>
      <protection locked="0"/>
    </xf>
    <xf numFmtId="0" fontId="42" fillId="20" borderId="59" xfId="0" applyFont="1" applyFill="1" applyBorder="1" applyAlignment="1" applyProtection="1">
      <alignment horizontal="left" vertical="center"/>
      <protection locked="0"/>
    </xf>
    <xf numFmtId="0" fontId="43" fillId="25" borderId="16" xfId="0" applyFont="1" applyFill="1" applyBorder="1" applyAlignment="1" applyProtection="1">
      <alignment horizontal="left" vertical="center"/>
      <protection locked="0"/>
    </xf>
    <xf numFmtId="43" fontId="42" fillId="0" borderId="17" xfId="1" applyFont="1" applyFill="1" applyBorder="1" applyAlignment="1" applyProtection="1">
      <alignment vertical="center"/>
      <protection locked="0"/>
    </xf>
    <xf numFmtId="0" fontId="40" fillId="20" borderId="11" xfId="0" applyFont="1" applyFill="1" applyBorder="1" applyAlignment="1" applyProtection="1">
      <alignment vertical="center"/>
      <protection locked="0"/>
    </xf>
    <xf numFmtId="0" fontId="37" fillId="20" borderId="6" xfId="0" applyFont="1" applyFill="1" applyBorder="1" applyAlignment="1" applyProtection="1">
      <alignment horizontal="left" vertical="center"/>
      <protection locked="0"/>
    </xf>
    <xf numFmtId="0" fontId="46" fillId="28" borderId="47" xfId="0" applyFont="1" applyFill="1" applyBorder="1" applyAlignment="1" applyProtection="1">
      <alignment horizontal="center" vertical="center"/>
      <protection locked="0"/>
    </xf>
    <xf numFmtId="0" fontId="43" fillId="5" borderId="29" xfId="0" applyFont="1" applyFill="1" applyBorder="1" applyAlignment="1" applyProtection="1">
      <alignment horizontal="left" vertical="center"/>
      <protection locked="0"/>
    </xf>
    <xf numFmtId="0" fontId="42" fillId="5" borderId="8" xfId="0" applyFont="1" applyFill="1" applyBorder="1" applyAlignment="1" applyProtection="1">
      <alignment horizontal="left" vertical="center"/>
      <protection locked="0"/>
    </xf>
    <xf numFmtId="0" fontId="42" fillId="0" borderId="8" xfId="0" applyFont="1" applyFill="1" applyBorder="1" applyAlignment="1" applyProtection="1">
      <alignment vertical="center"/>
      <protection locked="0"/>
    </xf>
    <xf numFmtId="0" fontId="42" fillId="28" borderId="47" xfId="0" applyFont="1" applyFill="1" applyBorder="1" applyAlignment="1" applyProtection="1">
      <alignment horizontal="left" vertical="center"/>
      <protection locked="0"/>
    </xf>
    <xf numFmtId="0" fontId="43" fillId="5" borderId="8" xfId="0" applyFont="1" applyFill="1" applyBorder="1" applyAlignment="1" applyProtection="1">
      <alignment vertical="center"/>
      <protection locked="0"/>
    </xf>
    <xf numFmtId="0" fontId="43" fillId="5" borderId="8" xfId="0" applyFont="1" applyFill="1" applyBorder="1" applyAlignment="1" applyProtection="1">
      <alignment horizontal="left" vertical="center"/>
      <protection locked="0"/>
    </xf>
    <xf numFmtId="0" fontId="43" fillId="31" borderId="8" xfId="0" applyFont="1" applyFill="1" applyBorder="1" applyAlignment="1" applyProtection="1">
      <alignment horizontal="left" vertical="center"/>
      <protection locked="0"/>
    </xf>
    <xf numFmtId="0" fontId="39" fillId="31" borderId="8" xfId="0" applyFont="1" applyFill="1" applyBorder="1" applyAlignment="1" applyProtection="1">
      <alignment horizontal="left" vertical="center"/>
      <protection locked="0"/>
    </xf>
    <xf numFmtId="43" fontId="42" fillId="0" borderId="39" xfId="1" applyFont="1" applyFill="1" applyBorder="1" applyAlignment="1" applyProtection="1">
      <alignment vertical="center"/>
      <protection locked="0"/>
    </xf>
    <xf numFmtId="168" fontId="48" fillId="19" borderId="8" xfId="4" applyNumberFormat="1" applyFont="1" applyFill="1" applyBorder="1" applyAlignment="1" applyProtection="1">
      <alignment vertical="center"/>
      <protection locked="0"/>
    </xf>
    <xf numFmtId="0" fontId="39" fillId="19" borderId="8" xfId="0" applyFont="1" applyFill="1" applyBorder="1" applyAlignment="1" applyProtection="1">
      <alignment horizontal="left" vertical="center"/>
      <protection locked="0"/>
    </xf>
    <xf numFmtId="0" fontId="37" fillId="27" borderId="8" xfId="0" applyFont="1" applyFill="1" applyBorder="1" applyAlignment="1" applyProtection="1">
      <alignment horizontal="left" vertical="center"/>
      <protection locked="0"/>
    </xf>
    <xf numFmtId="0" fontId="37" fillId="27" borderId="8" xfId="0" applyFont="1" applyFill="1" applyBorder="1" applyAlignment="1" applyProtection="1">
      <alignment horizontal="left"/>
      <protection locked="0"/>
    </xf>
    <xf numFmtId="0" fontId="45" fillId="27" borderId="8" xfId="0" applyFont="1" applyFill="1" applyBorder="1" applyAlignment="1" applyProtection="1">
      <alignment vertical="center"/>
      <protection locked="0"/>
    </xf>
    <xf numFmtId="0" fontId="43" fillId="0" borderId="8" xfId="0" applyFont="1" applyFill="1" applyBorder="1" applyAlignment="1" applyProtection="1">
      <alignment horizontal="left" vertical="center"/>
      <protection locked="0"/>
    </xf>
    <xf numFmtId="165" fontId="42" fillId="0" borderId="0" xfId="0" applyNumberFormat="1" applyFont="1" applyFill="1" applyBorder="1" applyAlignment="1" applyProtection="1">
      <alignment vertical="center"/>
      <protection locked="0"/>
    </xf>
    <xf numFmtId="0" fontId="37" fillId="26" borderId="8" xfId="0" applyFont="1" applyFill="1" applyBorder="1" applyAlignment="1" applyProtection="1">
      <alignment horizontal="left" vertical="center"/>
      <protection locked="0"/>
    </xf>
    <xf numFmtId="166" fontId="37" fillId="27" borderId="8" xfId="1" applyNumberFormat="1" applyFont="1" applyFill="1" applyBorder="1" applyAlignment="1" applyProtection="1">
      <alignment vertical="center"/>
      <protection locked="0"/>
    </xf>
    <xf numFmtId="0" fontId="37" fillId="10" borderId="8" xfId="0" applyFont="1" applyFill="1" applyBorder="1" applyAlignment="1" applyProtection="1">
      <alignment horizontal="left" vertical="center"/>
      <protection locked="0"/>
    </xf>
    <xf numFmtId="0" fontId="42" fillId="28" borderId="59" xfId="0" applyFont="1" applyFill="1" applyBorder="1" applyAlignment="1" applyProtection="1">
      <alignment horizontal="left" vertical="center"/>
      <protection locked="0"/>
    </xf>
    <xf numFmtId="0" fontId="37" fillId="10" borderId="5" xfId="0" applyFont="1" applyFill="1" applyBorder="1" applyAlignment="1" applyProtection="1">
      <alignment horizontal="left" vertical="center"/>
      <protection locked="0"/>
    </xf>
    <xf numFmtId="43" fontId="42" fillId="0" borderId="0" xfId="0" applyNumberFormat="1" applyFont="1" applyFill="1" applyBorder="1" applyAlignment="1" applyProtection="1">
      <alignment vertical="center"/>
      <protection locked="0"/>
    </xf>
    <xf numFmtId="9" fontId="42" fillId="0" borderId="0" xfId="2" applyFont="1" applyFill="1" applyBorder="1" applyAlignment="1" applyProtection="1">
      <alignment vertical="center"/>
      <protection locked="0"/>
    </xf>
    <xf numFmtId="43" fontId="40" fillId="0" borderId="0" xfId="1" applyFont="1" applyFill="1" applyBorder="1" applyAlignment="1" applyProtection="1">
      <alignment vertical="center"/>
      <protection locked="0"/>
    </xf>
    <xf numFmtId="165" fontId="40" fillId="0" borderId="0" xfId="0" applyNumberFormat="1" applyFont="1" applyFill="1" applyBorder="1" applyAlignment="1" applyProtection="1">
      <alignment vertical="center"/>
      <protection locked="0"/>
    </xf>
    <xf numFmtId="0" fontId="42" fillId="30" borderId="0" xfId="0" applyFont="1" applyFill="1" applyBorder="1" applyAlignment="1" applyProtection="1">
      <alignment vertical="center"/>
    </xf>
    <xf numFmtId="168" fontId="16" fillId="7" borderId="26" xfId="4" applyNumberFormat="1" applyFont="1" applyFill="1" applyBorder="1" applyAlignment="1" applyProtection="1">
      <alignment vertical="center"/>
    </xf>
    <xf numFmtId="168" fontId="39" fillId="7" borderId="11" xfId="4" applyNumberFormat="1" applyFont="1" applyFill="1" applyBorder="1" applyAlignment="1" applyProtection="1">
      <alignment vertical="center"/>
    </xf>
    <xf numFmtId="43" fontId="51" fillId="28" borderId="1" xfId="1" applyNumberFormat="1" applyFont="1" applyFill="1" applyBorder="1" applyAlignment="1" applyProtection="1">
      <alignment vertical="center"/>
      <protection locked="0"/>
    </xf>
    <xf numFmtId="0" fontId="10" fillId="28" borderId="3" xfId="0" applyFont="1" applyFill="1" applyBorder="1" applyAlignment="1" applyProtection="1">
      <alignment vertical="center"/>
      <protection locked="0"/>
    </xf>
    <xf numFmtId="0" fontId="42" fillId="28" borderId="1" xfId="0" applyFont="1" applyFill="1" applyBorder="1" applyProtection="1">
      <protection locked="0"/>
    </xf>
    <xf numFmtId="0" fontId="10" fillId="28" borderId="1" xfId="0" applyFont="1" applyFill="1" applyBorder="1" applyAlignment="1" applyProtection="1">
      <alignment vertical="center"/>
      <protection locked="0"/>
    </xf>
    <xf numFmtId="0" fontId="10" fillId="28" borderId="32" xfId="0" applyFont="1" applyFill="1" applyBorder="1" applyAlignment="1" applyProtection="1">
      <alignment vertical="center"/>
      <protection locked="0"/>
    </xf>
    <xf numFmtId="168" fontId="47" fillId="28" borderId="32" xfId="5" applyNumberFormat="1" applyFont="1" applyFill="1" applyBorder="1" applyAlignment="1" applyProtection="1">
      <alignment vertical="center"/>
      <protection locked="0"/>
    </xf>
    <xf numFmtId="168" fontId="10" fillId="28" borderId="1" xfId="5" applyNumberFormat="1" applyFont="1" applyFill="1" applyBorder="1" applyProtection="1">
      <protection locked="0"/>
    </xf>
    <xf numFmtId="168" fontId="47" fillId="28" borderId="1" xfId="5" applyNumberFormat="1" applyFont="1" applyFill="1" applyBorder="1" applyAlignment="1" applyProtection="1">
      <alignment vertical="center"/>
      <protection locked="0"/>
    </xf>
    <xf numFmtId="168" fontId="47" fillId="28" borderId="50" xfId="5" applyNumberFormat="1" applyFont="1" applyFill="1" applyBorder="1" applyAlignment="1" applyProtection="1">
      <alignment vertical="center"/>
      <protection locked="0"/>
    </xf>
    <xf numFmtId="170" fontId="10" fillId="28" borderId="1" xfId="0" applyNumberFormat="1" applyFont="1" applyFill="1" applyBorder="1" applyProtection="1">
      <protection locked="0"/>
    </xf>
    <xf numFmtId="0" fontId="10" fillId="28" borderId="1" xfId="0" applyFont="1" applyFill="1" applyBorder="1" applyProtection="1">
      <protection locked="0"/>
    </xf>
    <xf numFmtId="0" fontId="10" fillId="28" borderId="8" xfId="0" applyFont="1" applyFill="1" applyBorder="1" applyAlignment="1" applyProtection="1">
      <alignment vertical="center"/>
      <protection locked="0"/>
    </xf>
    <xf numFmtId="0" fontId="40" fillId="20" borderId="11" xfId="0" applyFont="1" applyFill="1" applyBorder="1" applyAlignment="1" applyProtection="1">
      <alignment vertical="center"/>
    </xf>
    <xf numFmtId="0" fontId="37" fillId="20" borderId="6" xfId="0" applyFont="1" applyFill="1" applyBorder="1" applyAlignment="1" applyProtection="1">
      <alignment horizontal="left" vertical="center"/>
    </xf>
    <xf numFmtId="0" fontId="46" fillId="28" borderId="47" xfId="0" applyFont="1" applyFill="1" applyBorder="1" applyAlignment="1" applyProtection="1">
      <alignment horizontal="center" vertical="center"/>
    </xf>
    <xf numFmtId="0" fontId="43" fillId="5" borderId="29" xfId="0" applyFont="1" applyFill="1" applyBorder="1" applyAlignment="1" applyProtection="1">
      <alignment horizontal="left" vertical="center"/>
    </xf>
    <xf numFmtId="0" fontId="42" fillId="5" borderId="8" xfId="0" applyFont="1" applyFill="1" applyBorder="1" applyAlignment="1" applyProtection="1">
      <alignment horizontal="left" vertical="center"/>
    </xf>
    <xf numFmtId="0" fontId="42" fillId="0" borderId="8" xfId="0" applyFont="1" applyFill="1" applyBorder="1" applyAlignment="1" applyProtection="1">
      <alignment vertical="center"/>
    </xf>
    <xf numFmtId="0" fontId="42" fillId="28" borderId="47" xfId="0" applyFont="1" applyFill="1" applyBorder="1" applyAlignment="1" applyProtection="1">
      <alignment horizontal="left" vertical="center"/>
    </xf>
    <xf numFmtId="0" fontId="43" fillId="5" borderId="8" xfId="0" applyFont="1" applyFill="1" applyBorder="1" applyAlignment="1" applyProtection="1">
      <alignment vertical="center"/>
    </xf>
    <xf numFmtId="0" fontId="42" fillId="0" borderId="1" xfId="0" applyFont="1" applyFill="1" applyBorder="1" applyAlignment="1" applyProtection="1">
      <alignment vertical="center"/>
    </xf>
    <xf numFmtId="0" fontId="43" fillId="5" borderId="8" xfId="0" applyFont="1" applyFill="1" applyBorder="1" applyAlignment="1" applyProtection="1">
      <alignment horizontal="left" vertical="center"/>
    </xf>
    <xf numFmtId="0" fontId="43" fillId="31" borderId="8" xfId="0" applyFont="1" applyFill="1" applyBorder="1" applyAlignment="1" applyProtection="1">
      <alignment horizontal="left" vertical="center"/>
    </xf>
    <xf numFmtId="0" fontId="39" fillId="31" borderId="8" xfId="0" applyFont="1" applyFill="1" applyBorder="1" applyAlignment="1" applyProtection="1">
      <alignment horizontal="left" vertical="center"/>
    </xf>
    <xf numFmtId="43" fontId="42" fillId="0" borderId="39" xfId="1" applyFont="1" applyFill="1" applyBorder="1" applyAlignment="1" applyProtection="1">
      <alignment vertical="center"/>
    </xf>
    <xf numFmtId="168" fontId="48" fillId="19" borderId="8" xfId="4" applyNumberFormat="1" applyFont="1" applyFill="1" applyBorder="1" applyAlignment="1" applyProtection="1">
      <alignment vertical="center"/>
    </xf>
    <xf numFmtId="0" fontId="39" fillId="19" borderId="8" xfId="0" applyFont="1" applyFill="1" applyBorder="1" applyAlignment="1" applyProtection="1">
      <alignment horizontal="left" vertical="center"/>
    </xf>
    <xf numFmtId="0" fontId="43" fillId="0" borderId="39" xfId="0" applyFont="1" applyFill="1" applyBorder="1" applyAlignment="1" applyProtection="1">
      <alignment vertical="center"/>
    </xf>
    <xf numFmtId="0" fontId="37" fillId="27" borderId="8" xfId="0" applyFont="1" applyFill="1" applyBorder="1" applyAlignment="1" applyProtection="1">
      <alignment horizontal="left" vertical="center"/>
    </xf>
    <xf numFmtId="0" fontId="37" fillId="27" borderId="8" xfId="0" applyFont="1" applyFill="1" applyBorder="1" applyAlignment="1" applyProtection="1">
      <alignment horizontal="left"/>
    </xf>
    <xf numFmtId="0" fontId="45" fillId="27" borderId="8" xfId="0" applyFont="1" applyFill="1" applyBorder="1" applyAlignment="1" applyProtection="1">
      <alignment vertical="center"/>
    </xf>
    <xf numFmtId="0" fontId="43" fillId="0" borderId="8" xfId="0" applyFont="1" applyFill="1" applyBorder="1" applyAlignment="1" applyProtection="1">
      <alignment horizontal="left" vertical="center"/>
    </xf>
    <xf numFmtId="0" fontId="37" fillId="26" borderId="8" xfId="0" applyFont="1" applyFill="1" applyBorder="1" applyAlignment="1" applyProtection="1">
      <alignment horizontal="left" vertical="center"/>
    </xf>
    <xf numFmtId="166" fontId="37" fillId="27" borderId="8" xfId="1" applyNumberFormat="1" applyFont="1" applyFill="1" applyBorder="1" applyAlignment="1" applyProtection="1">
      <alignment vertical="center"/>
    </xf>
    <xf numFmtId="0" fontId="37" fillId="10" borderId="8" xfId="0" applyFont="1" applyFill="1" applyBorder="1" applyAlignment="1" applyProtection="1">
      <alignment horizontal="left" vertical="center"/>
    </xf>
    <xf numFmtId="0" fontId="42" fillId="28" borderId="59" xfId="0" applyFont="1" applyFill="1" applyBorder="1" applyAlignment="1" applyProtection="1">
      <alignment horizontal="left" vertical="center"/>
    </xf>
    <xf numFmtId="0" fontId="37" fillId="10" borderId="5" xfId="0" applyFont="1" applyFill="1" applyBorder="1" applyAlignment="1" applyProtection="1">
      <alignment horizontal="left" vertical="center"/>
    </xf>
    <xf numFmtId="0" fontId="39" fillId="24" borderId="67" xfId="0" applyFont="1" applyFill="1" applyBorder="1" applyAlignment="1" applyProtection="1">
      <alignment horizontal="center" vertical="center"/>
      <protection locked="0"/>
    </xf>
    <xf numFmtId="0" fontId="39" fillId="24" borderId="21" xfId="0" applyFont="1" applyFill="1" applyBorder="1" applyAlignment="1" applyProtection="1">
      <alignment horizontal="center" vertical="center"/>
      <protection locked="0"/>
    </xf>
    <xf numFmtId="0" fontId="39" fillId="24" borderId="65" xfId="0" applyFont="1" applyFill="1" applyBorder="1" applyAlignment="1" applyProtection="1">
      <alignment horizontal="center" vertical="center"/>
      <protection locked="0"/>
    </xf>
    <xf numFmtId="9" fontId="42" fillId="5" borderId="1" xfId="0" applyNumberFormat="1" applyFont="1" applyFill="1" applyBorder="1" applyAlignment="1" applyProtection="1">
      <alignment vertical="center"/>
    </xf>
    <xf numFmtId="168" fontId="16" fillId="7" borderId="53" xfId="4" applyNumberFormat="1" applyFont="1" applyFill="1" applyBorder="1" applyAlignment="1" applyProtection="1">
      <alignment vertical="center"/>
    </xf>
    <xf numFmtId="168" fontId="39" fillId="7" borderId="16" xfId="4" applyNumberFormat="1" applyFont="1" applyFill="1" applyBorder="1" applyAlignment="1" applyProtection="1">
      <alignment vertical="center"/>
    </xf>
    <xf numFmtId="168" fontId="15" fillId="7" borderId="1" xfId="4" applyNumberFormat="1" applyFont="1" applyFill="1" applyBorder="1" applyAlignment="1" applyProtection="1">
      <alignment vertical="center"/>
    </xf>
    <xf numFmtId="168" fontId="16" fillId="7" borderId="1" xfId="4" applyNumberFormat="1" applyFont="1" applyFill="1" applyBorder="1" applyAlignment="1" applyProtection="1">
      <alignment vertical="center"/>
    </xf>
    <xf numFmtId="168" fontId="39" fillId="7" borderId="1" xfId="4" applyNumberFormat="1" applyFont="1" applyFill="1" applyBorder="1" applyAlignment="1" applyProtection="1">
      <alignment vertical="center"/>
    </xf>
    <xf numFmtId="0" fontId="50" fillId="0" borderId="15" xfId="0" applyFont="1" applyFill="1" applyBorder="1" applyAlignment="1" applyProtection="1">
      <alignment vertical="center"/>
      <protection locked="0"/>
    </xf>
    <xf numFmtId="0" fontId="44"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xf>
    <xf numFmtId="168" fontId="15" fillId="0" borderId="0" xfId="4" applyNumberFormat="1" applyFont="1" applyFill="1" applyBorder="1" applyAlignment="1" applyProtection="1">
      <alignment vertical="center"/>
    </xf>
    <xf numFmtId="168" fontId="16" fillId="0" borderId="0" xfId="4" applyNumberFormat="1" applyFont="1" applyFill="1" applyBorder="1" applyAlignment="1" applyProtection="1">
      <alignment vertical="center"/>
    </xf>
    <xf numFmtId="168" fontId="39" fillId="0" borderId="0" xfId="4" applyNumberFormat="1" applyFont="1" applyFill="1" applyBorder="1" applyAlignment="1" applyProtection="1">
      <alignment vertical="center"/>
    </xf>
    <xf numFmtId="0" fontId="43" fillId="30" borderId="0" xfId="0" applyFont="1" applyFill="1" applyBorder="1" applyAlignment="1" applyProtection="1">
      <alignment vertical="center"/>
    </xf>
    <xf numFmtId="0" fontId="43" fillId="0" borderId="1" xfId="0" applyFont="1" applyFill="1" applyBorder="1" applyAlignment="1" applyProtection="1">
      <alignment vertical="center"/>
    </xf>
    <xf numFmtId="9" fontId="42" fillId="0" borderId="1" xfId="0" applyNumberFormat="1" applyFont="1" applyFill="1" applyBorder="1" applyAlignment="1" applyProtection="1">
      <alignment vertical="center"/>
    </xf>
    <xf numFmtId="9" fontId="42" fillId="0" borderId="1" xfId="2" applyFont="1" applyFill="1" applyBorder="1" applyAlignment="1" applyProtection="1">
      <alignment vertical="center"/>
    </xf>
    <xf numFmtId="0" fontId="43" fillId="5" borderId="1" xfId="0" applyFont="1" applyFill="1" applyBorder="1" applyAlignment="1" applyProtection="1">
      <alignment vertical="center"/>
    </xf>
    <xf numFmtId="0" fontId="43" fillId="30" borderId="0" xfId="0" applyFont="1" applyFill="1" applyBorder="1" applyAlignment="1" applyProtection="1">
      <alignment horizontal="left" vertical="center"/>
    </xf>
    <xf numFmtId="0" fontId="43" fillId="30" borderId="0" xfId="0" applyFont="1" applyFill="1" applyBorder="1" applyAlignment="1" applyProtection="1">
      <alignment horizontal="center" vertical="center"/>
    </xf>
    <xf numFmtId="0" fontId="42" fillId="30" borderId="0" xfId="0" applyFont="1" applyFill="1" applyBorder="1" applyAlignment="1" applyProtection="1">
      <alignment horizontal="left" vertical="center"/>
    </xf>
    <xf numFmtId="0" fontId="42" fillId="30" borderId="0" xfId="0" applyFont="1" applyFill="1" applyBorder="1" applyAlignment="1" applyProtection="1">
      <alignment horizontal="center" vertical="center"/>
    </xf>
    <xf numFmtId="0" fontId="42" fillId="30" borderId="0" xfId="0" applyFont="1" applyFill="1" applyBorder="1" applyAlignment="1" applyProtection="1">
      <alignment horizontal="right" vertical="center"/>
    </xf>
    <xf numFmtId="9" fontId="42" fillId="0" borderId="0" xfId="2" applyFont="1" applyFill="1" applyBorder="1" applyAlignment="1" applyProtection="1">
      <alignment vertical="center"/>
    </xf>
    <xf numFmtId="0" fontId="43" fillId="5" borderId="1" xfId="0" applyFont="1" applyFill="1" applyBorder="1" applyAlignment="1" applyProtection="1">
      <alignment horizontal="center" vertical="center"/>
    </xf>
    <xf numFmtId="9" fontId="42" fillId="5" borderId="1" xfId="2" applyFont="1" applyFill="1" applyBorder="1" applyAlignment="1" applyProtection="1">
      <alignment horizontal="center" vertical="center"/>
    </xf>
    <xf numFmtId="9" fontId="42" fillId="5" borderId="0" xfId="2" applyFont="1" applyFill="1" applyBorder="1" applyAlignment="1" applyProtection="1">
      <alignment vertical="center"/>
    </xf>
    <xf numFmtId="167" fontId="42" fillId="5" borderId="0" xfId="2" applyNumberFormat="1" applyFont="1" applyFill="1" applyBorder="1" applyProtection="1"/>
    <xf numFmtId="167" fontId="42" fillId="5" borderId="0" xfId="2" applyNumberFormat="1" applyFont="1" applyFill="1" applyBorder="1" applyAlignment="1" applyProtection="1">
      <alignment vertical="center"/>
    </xf>
    <xf numFmtId="0" fontId="42" fillId="5" borderId="70" xfId="0" applyFont="1" applyFill="1" applyBorder="1" applyAlignment="1" applyProtection="1">
      <alignment vertical="center"/>
      <protection locked="0"/>
    </xf>
    <xf numFmtId="0" fontId="42" fillId="0" borderId="71" xfId="0" applyFont="1" applyFill="1" applyBorder="1" applyAlignment="1" applyProtection="1">
      <alignment vertical="center"/>
      <protection locked="0"/>
    </xf>
    <xf numFmtId="0" fontId="42" fillId="0" borderId="72" xfId="0" applyFont="1" applyFill="1" applyBorder="1" applyAlignment="1" applyProtection="1">
      <alignment vertical="center"/>
      <protection locked="0"/>
    </xf>
    <xf numFmtId="0" fontId="42" fillId="5" borderId="58" xfId="0" applyFont="1" applyFill="1" applyBorder="1" applyAlignment="1" applyProtection="1">
      <alignment vertical="center"/>
      <protection locked="0"/>
    </xf>
    <xf numFmtId="0" fontId="42" fillId="0" borderId="49" xfId="0" applyFont="1" applyFill="1" applyBorder="1" applyAlignment="1" applyProtection="1">
      <alignment vertical="center"/>
      <protection locked="0"/>
    </xf>
    <xf numFmtId="0" fontId="39" fillId="24" borderId="39" xfId="0" applyFont="1" applyFill="1" applyBorder="1" applyAlignment="1" applyProtection="1">
      <alignment horizontal="center" vertical="center" wrapText="1"/>
      <protection locked="0"/>
    </xf>
    <xf numFmtId="0" fontId="43" fillId="0" borderId="25" xfId="0" applyFont="1" applyFill="1" applyBorder="1" applyAlignment="1" applyProtection="1">
      <alignment vertical="center"/>
      <protection locked="0"/>
    </xf>
    <xf numFmtId="168" fontId="39" fillId="7" borderId="41" xfId="4" applyNumberFormat="1" applyFont="1" applyFill="1" applyBorder="1" applyAlignment="1" applyProtection="1">
      <alignment vertical="center"/>
    </xf>
    <xf numFmtId="172" fontId="42" fillId="0" borderId="37" xfId="1" applyNumberFormat="1" applyFont="1" applyFill="1" applyBorder="1" applyAlignment="1" applyProtection="1">
      <alignment horizontal="left" vertical="center"/>
      <protection locked="0"/>
    </xf>
    <xf numFmtId="172" fontId="42" fillId="0" borderId="37" xfId="1" applyNumberFormat="1" applyFont="1" applyFill="1" applyBorder="1" applyAlignment="1" applyProtection="1">
      <alignment vertical="center"/>
      <protection locked="0"/>
    </xf>
    <xf numFmtId="172" fontId="50" fillId="32" borderId="15" xfId="1" applyNumberFormat="1" applyFont="1" applyFill="1" applyBorder="1" applyAlignment="1" applyProtection="1">
      <alignment vertical="center"/>
      <protection locked="0"/>
    </xf>
    <xf numFmtId="172" fontId="42" fillId="0" borderId="0" xfId="1" applyNumberFormat="1" applyFont="1" applyFill="1" applyBorder="1" applyAlignment="1" applyProtection="1">
      <alignment horizontal="left" vertical="center"/>
      <protection locked="0"/>
    </xf>
    <xf numFmtId="172" fontId="42" fillId="0" borderId="0" xfId="1" applyNumberFormat="1" applyFont="1" applyFill="1" applyBorder="1" applyAlignment="1" applyProtection="1">
      <alignment vertical="center"/>
      <protection locked="0"/>
    </xf>
    <xf numFmtId="172" fontId="42" fillId="28" borderId="32" xfId="1" applyNumberFormat="1" applyFont="1" applyFill="1" applyBorder="1" applyAlignment="1" applyProtection="1">
      <alignment vertical="center"/>
      <protection locked="0"/>
    </xf>
    <xf numFmtId="172" fontId="42" fillId="28" borderId="1" xfId="1" applyNumberFormat="1" applyFont="1" applyFill="1" applyBorder="1" applyAlignment="1" applyProtection="1">
      <alignment vertical="center"/>
      <protection locked="0"/>
    </xf>
    <xf numFmtId="172" fontId="43" fillId="24" borderId="1" xfId="1" applyNumberFormat="1" applyFont="1" applyFill="1" applyBorder="1" applyAlignment="1" applyProtection="1">
      <alignment vertical="center"/>
      <protection locked="0"/>
    </xf>
    <xf numFmtId="172" fontId="42" fillId="28" borderId="2" xfId="1" applyNumberFormat="1" applyFont="1" applyFill="1" applyBorder="1" applyAlignment="1" applyProtection="1">
      <alignment vertical="center"/>
      <protection locked="0"/>
    </xf>
    <xf numFmtId="172" fontId="42" fillId="0" borderId="42" xfId="1" applyNumberFormat="1" applyFont="1" applyFill="1" applyBorder="1" applyAlignment="1" applyProtection="1">
      <alignment vertical="center"/>
      <protection locked="0"/>
    </xf>
    <xf numFmtId="172" fontId="10" fillId="28" borderId="1" xfId="1" applyNumberFormat="1" applyFont="1" applyFill="1" applyBorder="1" applyAlignment="1" applyProtection="1">
      <alignment horizontal="center"/>
      <protection locked="0"/>
    </xf>
    <xf numFmtId="172" fontId="10" fillId="8" borderId="32" xfId="1" applyNumberFormat="1" applyFont="1" applyFill="1" applyBorder="1" applyAlignment="1" applyProtection="1">
      <alignment horizontal="center" vertical="center"/>
      <protection locked="0"/>
    </xf>
    <xf numFmtId="172" fontId="10" fillId="28" borderId="1" xfId="1" applyNumberFormat="1" applyFont="1" applyFill="1" applyBorder="1" applyProtection="1">
      <protection locked="0"/>
    </xf>
    <xf numFmtId="172" fontId="9" fillId="8" borderId="32" xfId="1" applyNumberFormat="1" applyFont="1" applyFill="1" applyBorder="1" applyAlignment="1" applyProtection="1">
      <alignment horizontal="center" vertical="center"/>
      <protection locked="0"/>
    </xf>
    <xf numFmtId="172" fontId="11" fillId="8" borderId="32" xfId="1" applyNumberFormat="1" applyFont="1" applyFill="1" applyBorder="1" applyAlignment="1" applyProtection="1">
      <alignment horizontal="center" vertical="center"/>
      <protection locked="0"/>
    </xf>
    <xf numFmtId="172" fontId="14" fillId="28" borderId="1" xfId="1" applyNumberFormat="1" applyFont="1" applyFill="1" applyBorder="1" applyProtection="1">
      <protection locked="0"/>
    </xf>
    <xf numFmtId="172" fontId="14" fillId="8" borderId="32" xfId="1" applyNumberFormat="1" applyFont="1" applyFill="1" applyBorder="1" applyAlignment="1" applyProtection="1">
      <alignment horizontal="center" vertical="center"/>
      <protection locked="0"/>
    </xf>
    <xf numFmtId="172" fontId="13" fillId="8" borderId="32" xfId="1" applyNumberFormat="1" applyFont="1" applyFill="1" applyBorder="1" applyAlignment="1" applyProtection="1">
      <alignment horizontal="center" vertical="center"/>
      <protection locked="0"/>
    </xf>
    <xf numFmtId="172" fontId="13" fillId="8" borderId="1" xfId="1" applyNumberFormat="1" applyFont="1" applyFill="1" applyBorder="1" applyAlignment="1" applyProtection="1">
      <alignment horizontal="center" vertical="center"/>
      <protection locked="0"/>
    </xf>
    <xf numFmtId="172" fontId="14" fillId="8" borderId="1" xfId="1" applyNumberFormat="1" applyFont="1" applyFill="1" applyBorder="1" applyAlignment="1" applyProtection="1">
      <alignment horizontal="center" vertical="center"/>
      <protection locked="0"/>
    </xf>
    <xf numFmtId="172" fontId="13" fillId="28" borderId="1" xfId="1" applyNumberFormat="1" applyFont="1" applyFill="1" applyBorder="1" applyAlignment="1" applyProtection="1">
      <alignment horizontal="center"/>
      <protection locked="0"/>
    </xf>
    <xf numFmtId="172" fontId="12" fillId="8" borderId="1" xfId="1" applyNumberFormat="1" applyFont="1" applyFill="1" applyBorder="1" applyAlignment="1" applyProtection="1">
      <alignment horizontal="center" vertical="center"/>
      <protection locked="0"/>
    </xf>
    <xf numFmtId="172" fontId="14" fillId="8" borderId="7" xfId="1" applyNumberFormat="1" applyFont="1" applyFill="1" applyBorder="1" applyAlignment="1" applyProtection="1">
      <alignment horizontal="center" vertical="center"/>
      <protection locked="0"/>
    </xf>
    <xf numFmtId="172" fontId="14" fillId="28" borderId="1" xfId="1" applyNumberFormat="1" applyFont="1" applyFill="1" applyBorder="1" applyAlignment="1" applyProtection="1">
      <alignment horizontal="center"/>
      <protection locked="0"/>
    </xf>
    <xf numFmtId="172" fontId="16" fillId="8" borderId="2" xfId="1" applyNumberFormat="1" applyFont="1" applyFill="1" applyBorder="1" applyAlignment="1" applyProtection="1">
      <alignment horizontal="center" vertical="center"/>
      <protection locked="0"/>
    </xf>
    <xf numFmtId="172" fontId="39" fillId="7" borderId="21" xfId="1" applyNumberFormat="1" applyFont="1" applyFill="1" applyBorder="1" applyAlignment="1" applyProtection="1">
      <alignment vertical="center"/>
      <protection locked="0"/>
    </xf>
    <xf numFmtId="172" fontId="42" fillId="0" borderId="0" xfId="1" applyNumberFormat="1" applyFont="1" applyFill="1" applyBorder="1" applyAlignment="1" applyProtection="1">
      <alignment horizontal="center" vertical="center"/>
      <protection locked="0"/>
    </xf>
    <xf numFmtId="172" fontId="43" fillId="24" borderId="31" xfId="1" applyNumberFormat="1" applyFont="1" applyFill="1" applyBorder="1" applyAlignment="1" applyProtection="1">
      <alignment horizontal="left" vertical="center"/>
      <protection locked="0"/>
    </xf>
    <xf numFmtId="172" fontId="43" fillId="24" borderId="45" xfId="1" applyNumberFormat="1" applyFont="1" applyFill="1" applyBorder="1" applyAlignment="1" applyProtection="1">
      <alignment horizontal="left" vertical="center"/>
      <protection locked="0"/>
    </xf>
    <xf numFmtId="172" fontId="43" fillId="24" borderId="44" xfId="1" applyNumberFormat="1" applyFont="1" applyFill="1" applyBorder="1" applyAlignment="1" applyProtection="1">
      <alignment horizontal="left" vertical="center"/>
      <protection locked="0"/>
    </xf>
    <xf numFmtId="172" fontId="40" fillId="16" borderId="39" xfId="1" applyNumberFormat="1" applyFont="1" applyFill="1" applyBorder="1" applyAlignment="1" applyProtection="1">
      <alignment vertical="center"/>
      <protection locked="0"/>
    </xf>
    <xf numFmtId="172" fontId="40" fillId="16" borderId="0" xfId="1" applyNumberFormat="1" applyFont="1" applyFill="1" applyBorder="1" applyAlignment="1" applyProtection="1">
      <alignment vertical="center"/>
      <protection locked="0"/>
    </xf>
    <xf numFmtId="172" fontId="42" fillId="5" borderId="25" xfId="1" applyNumberFormat="1" applyFont="1" applyFill="1" applyBorder="1" applyAlignment="1" applyProtection="1">
      <alignment vertical="center"/>
      <protection locked="0"/>
    </xf>
    <xf numFmtId="172" fontId="42" fillId="0" borderId="68" xfId="1" applyNumberFormat="1" applyFont="1" applyFill="1" applyBorder="1" applyAlignment="1" applyProtection="1">
      <alignment vertical="center"/>
      <protection locked="0"/>
    </xf>
    <xf numFmtId="172" fontId="43" fillId="0" borderId="25" xfId="1" applyNumberFormat="1" applyFont="1" applyFill="1" applyBorder="1" applyAlignment="1" applyProtection="1">
      <alignment vertical="center"/>
      <protection locked="0"/>
    </xf>
    <xf numFmtId="172" fontId="42" fillId="5" borderId="36" xfId="1" applyNumberFormat="1" applyFont="1" applyFill="1" applyBorder="1" applyAlignment="1" applyProtection="1">
      <alignment vertical="center"/>
      <protection locked="0"/>
    </xf>
    <xf numFmtId="172" fontId="42" fillId="5" borderId="37" xfId="1" applyNumberFormat="1" applyFont="1" applyFill="1" applyBorder="1" applyAlignment="1" applyProtection="1">
      <alignment vertical="center"/>
      <protection locked="0"/>
    </xf>
    <xf numFmtId="172" fontId="42" fillId="5" borderId="26" xfId="1" applyNumberFormat="1" applyFont="1" applyFill="1" applyBorder="1" applyAlignment="1" applyProtection="1">
      <alignment vertical="center"/>
      <protection locked="0"/>
    </xf>
    <xf numFmtId="172" fontId="47" fillId="0" borderId="54" xfId="1" applyNumberFormat="1" applyFont="1" applyFill="1" applyBorder="1" applyAlignment="1" applyProtection="1">
      <alignment vertical="center"/>
      <protection locked="0"/>
    </xf>
    <xf numFmtId="172" fontId="43" fillId="0" borderId="26" xfId="1" applyNumberFormat="1" applyFont="1" applyFill="1" applyBorder="1" applyAlignment="1" applyProtection="1">
      <alignment vertical="center"/>
      <protection locked="0"/>
    </xf>
    <xf numFmtId="172" fontId="42" fillId="5" borderId="39" xfId="1" applyNumberFormat="1" applyFont="1" applyFill="1" applyBorder="1" applyAlignment="1" applyProtection="1">
      <alignment vertical="center"/>
      <protection locked="0"/>
    </xf>
    <xf numFmtId="172" fontId="42" fillId="5" borderId="0" xfId="1" applyNumberFormat="1" applyFont="1" applyFill="1" applyBorder="1" applyAlignment="1" applyProtection="1">
      <alignment vertical="center"/>
      <protection locked="0"/>
    </xf>
    <xf numFmtId="172" fontId="47" fillId="28" borderId="26" xfId="1" applyNumberFormat="1" applyFont="1" applyFill="1" applyBorder="1" applyProtection="1">
      <protection locked="0"/>
    </xf>
    <xf numFmtId="172" fontId="42" fillId="0" borderId="54" xfId="1" applyNumberFormat="1" applyFont="1" applyFill="1" applyBorder="1" applyAlignment="1" applyProtection="1">
      <alignment vertical="center"/>
      <protection locked="0"/>
    </xf>
    <xf numFmtId="172" fontId="43" fillId="5" borderId="1" xfId="1" applyNumberFormat="1" applyFont="1" applyFill="1" applyBorder="1" applyAlignment="1" applyProtection="1">
      <alignment vertical="center"/>
      <protection locked="0"/>
    </xf>
    <xf numFmtId="172" fontId="47" fillId="28" borderId="26" xfId="1" applyNumberFormat="1" applyFont="1" applyFill="1" applyBorder="1" applyAlignment="1" applyProtection="1">
      <alignment vertical="center"/>
      <protection locked="0"/>
    </xf>
    <xf numFmtId="172" fontId="47" fillId="28" borderId="28" xfId="1" applyNumberFormat="1" applyFont="1" applyFill="1" applyBorder="1" applyAlignment="1" applyProtection="1">
      <alignment vertical="center"/>
      <protection locked="0"/>
    </xf>
    <xf numFmtId="172" fontId="42" fillId="0" borderId="63" xfId="1" applyNumberFormat="1" applyFont="1" applyFill="1" applyBorder="1" applyAlignment="1" applyProtection="1">
      <alignment vertical="center"/>
      <protection locked="0"/>
    </xf>
    <xf numFmtId="172" fontId="43" fillId="0" borderId="28" xfId="1" applyNumberFormat="1" applyFont="1" applyFill="1" applyBorder="1" applyAlignment="1" applyProtection="1">
      <alignment vertical="center"/>
      <protection locked="0"/>
    </xf>
    <xf numFmtId="172" fontId="42" fillId="5" borderId="41" xfId="1" applyNumberFormat="1" applyFont="1" applyFill="1" applyBorder="1" applyAlignment="1" applyProtection="1">
      <alignment vertical="center"/>
      <protection locked="0"/>
    </xf>
    <xf numFmtId="172" fontId="42" fillId="5" borderId="63" xfId="1" applyNumberFormat="1" applyFont="1" applyFill="1" applyBorder="1" applyAlignment="1" applyProtection="1">
      <alignment vertical="center"/>
      <protection locked="0"/>
    </xf>
    <xf numFmtId="172" fontId="42" fillId="5" borderId="4" xfId="1" applyNumberFormat="1" applyFont="1" applyFill="1" applyBorder="1" applyAlignment="1" applyProtection="1">
      <alignment vertical="center"/>
      <protection locked="0"/>
    </xf>
    <xf numFmtId="172" fontId="42" fillId="0" borderId="23" xfId="1" applyNumberFormat="1" applyFont="1" applyFill="1" applyBorder="1" applyAlignment="1" applyProtection="1">
      <alignment vertical="center"/>
      <protection locked="0"/>
    </xf>
    <xf numFmtId="172" fontId="42" fillId="5" borderId="2" xfId="1" applyNumberFormat="1" applyFont="1" applyFill="1" applyBorder="1" applyAlignment="1" applyProtection="1">
      <alignment vertical="center"/>
      <protection locked="0"/>
    </xf>
    <xf numFmtId="172" fontId="42" fillId="0" borderId="27" xfId="1" applyNumberFormat="1" applyFont="1" applyFill="1" applyBorder="1" applyAlignment="1" applyProtection="1">
      <alignment vertical="center"/>
      <protection locked="0"/>
    </xf>
    <xf numFmtId="172" fontId="47" fillId="28" borderId="25" xfId="1" applyNumberFormat="1" applyFont="1" applyFill="1" applyBorder="1" applyAlignment="1" applyProtection="1">
      <alignment vertical="center"/>
      <protection locked="0"/>
    </xf>
    <xf numFmtId="172" fontId="47" fillId="0" borderId="28" xfId="1" applyNumberFormat="1" applyFont="1" applyFill="1" applyBorder="1" applyAlignment="1" applyProtection="1">
      <alignment vertical="center"/>
      <protection locked="0"/>
    </xf>
    <xf numFmtId="172" fontId="43" fillId="0" borderId="9" xfId="1" applyNumberFormat="1" applyFont="1" applyFill="1" applyBorder="1" applyAlignment="1" applyProtection="1">
      <alignment vertical="center"/>
      <protection locked="0"/>
    </xf>
    <xf numFmtId="172" fontId="42" fillId="0" borderId="14" xfId="1" applyNumberFormat="1" applyFont="1" applyFill="1" applyBorder="1" applyAlignment="1" applyProtection="1">
      <alignment vertical="center"/>
      <protection locked="0"/>
    </xf>
    <xf numFmtId="172" fontId="43" fillId="0" borderId="11" xfId="1" applyNumberFormat="1" applyFont="1" applyFill="1" applyBorder="1" applyAlignment="1" applyProtection="1">
      <alignment horizontal="right" vertical="center"/>
      <protection locked="0"/>
    </xf>
    <xf numFmtId="172" fontId="43" fillId="7" borderId="11" xfId="1" applyNumberFormat="1" applyFont="1" applyFill="1" applyBorder="1" applyAlignment="1" applyProtection="1">
      <alignment vertical="center"/>
    </xf>
    <xf numFmtId="172" fontId="43" fillId="24" borderId="11" xfId="1" applyNumberFormat="1" applyFont="1" applyFill="1" applyBorder="1" applyAlignment="1" applyProtection="1">
      <alignment horizontal="left" vertical="center"/>
      <protection locked="0"/>
    </xf>
    <xf numFmtId="172" fontId="43" fillId="0" borderId="10" xfId="1" applyNumberFormat="1" applyFont="1" applyFill="1" applyBorder="1" applyAlignment="1" applyProtection="1">
      <alignment vertical="center"/>
      <protection locked="0"/>
    </xf>
    <xf numFmtId="172" fontId="43" fillId="0" borderId="11" xfId="1" applyNumberFormat="1" applyFont="1" applyFill="1" applyBorder="1" applyAlignment="1" applyProtection="1">
      <alignment vertical="center"/>
      <protection locked="0"/>
    </xf>
    <xf numFmtId="172" fontId="43" fillId="0" borderId="0" xfId="1" applyNumberFormat="1" applyFont="1" applyFill="1" applyBorder="1" applyAlignment="1" applyProtection="1">
      <alignment vertical="center"/>
      <protection locked="0"/>
    </xf>
    <xf numFmtId="172" fontId="43" fillId="24" borderId="16" xfId="1" applyNumberFormat="1" applyFont="1" applyFill="1" applyBorder="1" applyAlignment="1" applyProtection="1">
      <alignment horizontal="left" vertical="center"/>
      <protection locked="0"/>
    </xf>
    <xf numFmtId="172" fontId="43" fillId="24" borderId="15" xfId="1" applyNumberFormat="1" applyFont="1" applyFill="1" applyBorder="1" applyAlignment="1" applyProtection="1">
      <alignment horizontal="center" vertical="center"/>
      <protection locked="0"/>
    </xf>
    <xf numFmtId="172" fontId="43" fillId="23" borderId="11" xfId="1" applyNumberFormat="1" applyFont="1" applyFill="1" applyBorder="1" applyAlignment="1" applyProtection="1">
      <alignment horizontal="center" vertical="center"/>
      <protection locked="0"/>
    </xf>
    <xf numFmtId="172" fontId="47" fillId="28" borderId="35" xfId="1" applyNumberFormat="1" applyFont="1" applyFill="1" applyBorder="1" applyAlignment="1" applyProtection="1">
      <alignment vertical="center"/>
      <protection locked="0"/>
    </xf>
    <xf numFmtId="172" fontId="42" fillId="8" borderId="58" xfId="1" applyNumberFormat="1" applyFont="1" applyFill="1" applyBorder="1" applyAlignment="1" applyProtection="1">
      <alignment horizontal="center" vertical="center"/>
      <protection locked="0"/>
    </xf>
    <xf numFmtId="172" fontId="42" fillId="7" borderId="47" xfId="1" applyNumberFormat="1" applyFont="1" applyFill="1" applyBorder="1" applyAlignment="1" applyProtection="1">
      <alignment vertical="center"/>
    </xf>
    <xf numFmtId="172" fontId="42" fillId="7" borderId="26" xfId="1" applyNumberFormat="1" applyFont="1" applyFill="1" applyBorder="1" applyAlignment="1" applyProtection="1">
      <alignment vertical="center"/>
    </xf>
    <xf numFmtId="172" fontId="47" fillId="28" borderId="59" xfId="1" applyNumberFormat="1" applyFont="1" applyFill="1" applyBorder="1" applyAlignment="1" applyProtection="1">
      <alignment vertical="center"/>
      <protection locked="0"/>
    </xf>
    <xf numFmtId="172" fontId="42" fillId="8" borderId="42" xfId="1" applyNumberFormat="1" applyFont="1" applyFill="1" applyBorder="1" applyAlignment="1" applyProtection="1">
      <alignment horizontal="center" vertical="center"/>
      <protection locked="0"/>
    </xf>
    <xf numFmtId="172" fontId="42" fillId="7" borderId="59" xfId="1" applyNumberFormat="1" applyFont="1" applyFill="1" applyBorder="1" applyAlignment="1" applyProtection="1">
      <alignment vertical="center"/>
    </xf>
    <xf numFmtId="172" fontId="43" fillId="0" borderId="59" xfId="1" applyNumberFormat="1" applyFont="1" applyFill="1" applyBorder="1" applyAlignment="1" applyProtection="1">
      <alignment vertical="center"/>
      <protection locked="0"/>
    </xf>
    <xf numFmtId="172" fontId="43" fillId="7" borderId="59" xfId="1" applyNumberFormat="1" applyFont="1" applyFill="1" applyBorder="1" applyAlignment="1" applyProtection="1">
      <alignment vertical="center"/>
    </xf>
    <xf numFmtId="172" fontId="37" fillId="20" borderId="15" xfId="1" applyNumberFormat="1" applyFont="1" applyFill="1" applyBorder="1" applyAlignment="1" applyProtection="1">
      <alignment vertical="center"/>
      <protection locked="0"/>
    </xf>
    <xf numFmtId="172" fontId="42" fillId="20" borderId="15" xfId="1" applyNumberFormat="1" applyFont="1" applyFill="1" applyBorder="1" applyAlignment="1" applyProtection="1">
      <alignment horizontal="center" vertical="center"/>
      <protection locked="0"/>
    </xf>
    <xf numFmtId="172" fontId="37" fillId="20" borderId="17" xfId="1" applyNumberFormat="1" applyFont="1" applyFill="1" applyBorder="1" applyAlignment="1" applyProtection="1">
      <alignment vertical="center"/>
      <protection locked="0"/>
    </xf>
    <xf numFmtId="172" fontId="43" fillId="24" borderId="16" xfId="1" applyNumberFormat="1" applyFont="1" applyFill="1" applyBorder="1" applyAlignment="1" applyProtection="1">
      <alignment horizontal="center" vertical="center"/>
      <protection locked="0"/>
    </xf>
    <xf numFmtId="172" fontId="43" fillId="24" borderId="11" xfId="1" applyNumberFormat="1" applyFont="1" applyFill="1" applyBorder="1" applyAlignment="1" applyProtection="1">
      <alignment horizontal="center" vertical="center"/>
      <protection locked="0"/>
    </xf>
    <xf numFmtId="172" fontId="39" fillId="24" borderId="44" xfId="1" applyNumberFormat="1" applyFont="1" applyFill="1" applyBorder="1" applyAlignment="1" applyProtection="1">
      <alignment horizontal="center" vertical="center" wrapText="1"/>
      <protection locked="0"/>
    </xf>
    <xf numFmtId="172" fontId="38" fillId="28" borderId="8" xfId="1" applyNumberFormat="1" applyFont="1" applyFill="1" applyBorder="1" applyProtection="1">
      <protection locked="0"/>
    </xf>
    <xf numFmtId="172" fontId="42" fillId="28" borderId="35" xfId="1" applyNumberFormat="1" applyFont="1" applyFill="1" applyBorder="1" applyProtection="1">
      <protection locked="0"/>
    </xf>
    <xf numFmtId="172" fontId="42" fillId="8" borderId="34" xfId="1" applyNumberFormat="1" applyFont="1" applyFill="1" applyBorder="1" applyAlignment="1" applyProtection="1">
      <alignment horizontal="center" vertical="center"/>
      <protection locked="0"/>
    </xf>
    <xf numFmtId="172" fontId="16" fillId="7" borderId="26" xfId="1" applyNumberFormat="1" applyFont="1" applyFill="1" applyBorder="1" applyAlignment="1" applyProtection="1">
      <alignment vertical="center"/>
    </xf>
    <xf numFmtId="172" fontId="42" fillId="28" borderId="26" xfId="1" applyNumberFormat="1" applyFont="1" applyFill="1" applyBorder="1" applyProtection="1">
      <protection locked="0"/>
    </xf>
    <xf numFmtId="172" fontId="38" fillId="28" borderId="26" xfId="1" applyNumberFormat="1" applyFont="1" applyFill="1" applyBorder="1" applyAlignment="1" applyProtection="1">
      <alignment vertical="center"/>
      <protection locked="0"/>
    </xf>
    <xf numFmtId="172" fontId="42" fillId="8" borderId="12" xfId="1" applyNumberFormat="1" applyFont="1" applyFill="1" applyBorder="1" applyAlignment="1" applyProtection="1">
      <alignment horizontal="center" vertical="center"/>
      <protection locked="0"/>
    </xf>
    <xf numFmtId="172" fontId="38" fillId="28" borderId="28" xfId="1" applyNumberFormat="1" applyFont="1" applyFill="1" applyBorder="1" applyAlignment="1" applyProtection="1">
      <alignment vertical="center"/>
      <protection locked="0"/>
    </xf>
    <xf numFmtId="172" fontId="43" fillId="0" borderId="16" xfId="1" applyNumberFormat="1" applyFont="1" applyFill="1" applyBorder="1" applyAlignment="1" applyProtection="1">
      <alignment vertical="center"/>
      <protection locked="0"/>
    </xf>
    <xf numFmtId="172" fontId="39" fillId="7" borderId="11" xfId="1" applyNumberFormat="1" applyFont="1" applyFill="1" applyBorder="1" applyAlignment="1" applyProtection="1">
      <alignment vertical="center"/>
    </xf>
    <xf numFmtId="172" fontId="38" fillId="28" borderId="35" xfId="1" applyNumberFormat="1" applyFont="1" applyFill="1" applyBorder="1" applyAlignment="1" applyProtection="1">
      <alignment vertical="center"/>
      <protection locked="0"/>
    </xf>
    <xf numFmtId="172" fontId="43" fillId="0" borderId="55" xfId="1" applyNumberFormat="1" applyFont="1" applyFill="1" applyBorder="1" applyAlignment="1" applyProtection="1">
      <alignment vertical="center"/>
      <protection locked="0"/>
    </xf>
    <xf numFmtId="172" fontId="43" fillId="25" borderId="11" xfId="1" applyNumberFormat="1" applyFont="1" applyFill="1" applyBorder="1" applyAlignment="1" applyProtection="1">
      <alignment horizontal="center" vertical="center"/>
      <protection locked="0"/>
    </xf>
    <xf numFmtId="172" fontId="42" fillId="0" borderId="16" xfId="1" applyNumberFormat="1" applyFont="1" applyFill="1" applyBorder="1" applyAlignment="1" applyProtection="1">
      <alignment vertical="center"/>
      <protection locked="0"/>
    </xf>
    <xf numFmtId="172" fontId="42" fillId="0" borderId="15" xfId="1" applyNumberFormat="1" applyFont="1" applyFill="1" applyBorder="1" applyAlignment="1" applyProtection="1">
      <alignment vertical="center"/>
      <protection locked="0"/>
    </xf>
    <xf numFmtId="172" fontId="42" fillId="28" borderId="11" xfId="1" applyNumberFormat="1" applyFont="1" applyFill="1" applyBorder="1" applyAlignment="1" applyProtection="1">
      <alignment vertical="center"/>
      <protection locked="0"/>
    </xf>
    <xf numFmtId="172" fontId="42" fillId="28" borderId="11" xfId="1" applyNumberFormat="1" applyFont="1" applyFill="1" applyBorder="1" applyAlignment="1" applyProtection="1">
      <alignment horizontal="center" vertical="center"/>
      <protection locked="0"/>
    </xf>
    <xf numFmtId="172" fontId="43" fillId="0" borderId="17" xfId="1" applyNumberFormat="1" applyFont="1" applyFill="1" applyBorder="1" applyAlignment="1" applyProtection="1">
      <alignment vertical="center"/>
      <protection locked="0"/>
    </xf>
    <xf numFmtId="172" fontId="39" fillId="29" borderId="17" xfId="1" applyNumberFormat="1" applyFont="1" applyFill="1" applyBorder="1" applyAlignment="1" applyProtection="1">
      <alignment horizontal="center" vertical="center"/>
      <protection locked="0"/>
    </xf>
    <xf numFmtId="172" fontId="39" fillId="0" borderId="66" xfId="1" applyNumberFormat="1" applyFont="1" applyFill="1" applyBorder="1" applyAlignment="1" applyProtection="1">
      <alignment horizontal="center" vertical="center" wrapText="1"/>
    </xf>
    <xf numFmtId="172" fontId="42" fillId="0" borderId="50" xfId="1" applyNumberFormat="1" applyFont="1" applyFill="1" applyBorder="1" applyAlignment="1" applyProtection="1">
      <alignment horizontal="center" vertical="center"/>
    </xf>
    <xf numFmtId="172" fontId="43" fillId="0" borderId="50" xfId="1" applyNumberFormat="1" applyFont="1" applyFill="1" applyBorder="1" applyAlignment="1" applyProtection="1">
      <alignment horizontal="center" vertical="center"/>
    </xf>
    <xf numFmtId="172" fontId="42" fillId="0" borderId="50" xfId="1" applyNumberFormat="1" applyFont="1" applyFill="1" applyBorder="1" applyAlignment="1" applyProtection="1">
      <alignment vertical="center"/>
    </xf>
    <xf numFmtId="172" fontId="39" fillId="0" borderId="50" xfId="1" applyNumberFormat="1" applyFont="1" applyFill="1" applyBorder="1" applyAlignment="1" applyProtection="1">
      <alignment horizontal="center" vertical="center" wrapText="1"/>
    </xf>
    <xf numFmtId="172" fontId="43" fillId="31" borderId="50" xfId="1" applyNumberFormat="1" applyFont="1" applyFill="1" applyBorder="1" applyAlignment="1" applyProtection="1">
      <alignment vertical="center"/>
    </xf>
    <xf numFmtId="172" fontId="39" fillId="31" borderId="50" xfId="1" applyNumberFormat="1" applyFont="1" applyFill="1" applyBorder="1" applyAlignment="1" applyProtection="1">
      <alignment vertical="center"/>
    </xf>
    <xf numFmtId="172" fontId="42" fillId="0" borderId="40" xfId="1" applyNumberFormat="1" applyFont="1" applyFill="1" applyBorder="1" applyAlignment="1" applyProtection="1">
      <alignment vertical="center"/>
    </xf>
    <xf numFmtId="172" fontId="48" fillId="19" borderId="50" xfId="1" applyNumberFormat="1" applyFont="1" applyFill="1" applyBorder="1" applyAlignment="1" applyProtection="1">
      <alignment vertical="center"/>
    </xf>
    <xf numFmtId="172" fontId="43" fillId="10" borderId="11" xfId="1" applyNumberFormat="1" applyFont="1" applyFill="1" applyBorder="1" applyProtection="1">
      <protection locked="0"/>
    </xf>
    <xf numFmtId="172" fontId="40" fillId="16" borderId="36" xfId="1" applyNumberFormat="1" applyFont="1" applyFill="1" applyBorder="1" applyAlignment="1" applyProtection="1">
      <alignment vertical="center"/>
      <protection locked="0"/>
    </xf>
    <xf numFmtId="172" fontId="40" fillId="16" borderId="37" xfId="1" applyNumberFormat="1" applyFont="1" applyFill="1" applyBorder="1" applyAlignment="1" applyProtection="1">
      <alignment vertical="center"/>
      <protection locked="0"/>
    </xf>
    <xf numFmtId="172" fontId="40" fillId="16" borderId="38" xfId="1" applyNumberFormat="1" applyFont="1" applyFill="1" applyBorder="1" applyAlignment="1" applyProtection="1">
      <alignment vertical="center"/>
      <protection locked="0"/>
    </xf>
    <xf numFmtId="172" fontId="39" fillId="19" borderId="50" xfId="1" applyNumberFormat="1" applyFont="1" applyFill="1" applyBorder="1" applyAlignment="1" applyProtection="1">
      <alignment vertical="center"/>
    </xf>
    <xf numFmtId="172" fontId="42" fillId="5" borderId="38" xfId="1" applyNumberFormat="1" applyFont="1" applyFill="1" applyBorder="1" applyAlignment="1" applyProtection="1">
      <alignment vertical="center"/>
      <protection locked="0"/>
    </xf>
    <xf numFmtId="172" fontId="42" fillId="5" borderId="40" xfId="1" applyNumberFormat="1" applyFont="1" applyFill="1" applyBorder="1" applyAlignment="1" applyProtection="1">
      <alignment vertical="center"/>
      <protection locked="0"/>
    </xf>
    <xf numFmtId="172" fontId="37" fillId="27" borderId="50" xfId="1" applyNumberFormat="1" applyFont="1" applyFill="1" applyBorder="1" applyAlignment="1" applyProtection="1">
      <alignment vertical="center"/>
    </xf>
    <xf numFmtId="172" fontId="42" fillId="5" borderId="42" xfId="1" applyNumberFormat="1" applyFont="1" applyFill="1" applyBorder="1" applyAlignment="1" applyProtection="1">
      <alignment vertical="center"/>
      <protection locked="0"/>
    </xf>
    <xf numFmtId="172" fontId="42" fillId="5" borderId="43" xfId="1" applyNumberFormat="1" applyFont="1" applyFill="1" applyBorder="1" applyAlignment="1" applyProtection="1">
      <alignment vertical="center"/>
      <protection locked="0"/>
    </xf>
    <xf numFmtId="172" fontId="37" fillId="27" borderId="50" xfId="1" applyNumberFormat="1" applyFont="1" applyFill="1" applyBorder="1" applyProtection="1"/>
    <xf numFmtId="172" fontId="43" fillId="5" borderId="50" xfId="1" applyNumberFormat="1" applyFont="1" applyFill="1" applyBorder="1" applyAlignment="1" applyProtection="1">
      <alignment vertical="center"/>
    </xf>
    <xf numFmtId="172" fontId="37" fillId="26" borderId="50" xfId="1" applyNumberFormat="1" applyFont="1" applyFill="1" applyBorder="1" applyAlignment="1" applyProtection="1">
      <alignment vertical="center"/>
    </xf>
    <xf numFmtId="172" fontId="37" fillId="10" borderId="50" xfId="1" applyNumberFormat="1" applyFont="1" applyFill="1" applyBorder="1" applyAlignment="1" applyProtection="1">
      <alignment horizontal="center" vertical="center"/>
    </xf>
    <xf numFmtId="172" fontId="37" fillId="10" borderId="61" xfId="1" applyNumberFormat="1" applyFont="1" applyFill="1" applyBorder="1" applyAlignment="1" applyProtection="1">
      <alignment horizontal="center" vertical="center"/>
      <protection locked="0"/>
    </xf>
    <xf numFmtId="172" fontId="42" fillId="0" borderId="1" xfId="1" applyNumberFormat="1" applyFont="1" applyFill="1" applyBorder="1" applyAlignment="1" applyProtection="1">
      <alignment horizontal="center" vertical="center"/>
    </xf>
    <xf numFmtId="172" fontId="43" fillId="0" borderId="1" xfId="1" applyNumberFormat="1" applyFont="1" applyFill="1" applyBorder="1" applyAlignment="1" applyProtection="1">
      <alignment horizontal="center" vertical="center"/>
    </xf>
    <xf numFmtId="172" fontId="42" fillId="0" borderId="1" xfId="1" applyNumberFormat="1" applyFont="1" applyFill="1" applyBorder="1" applyAlignment="1" applyProtection="1">
      <alignment vertical="center"/>
    </xf>
    <xf numFmtId="172" fontId="39" fillId="24" borderId="1" xfId="1" applyNumberFormat="1" applyFont="1" applyFill="1" applyBorder="1" applyAlignment="1" applyProtection="1">
      <alignment horizontal="center" vertical="center" wrapText="1"/>
    </xf>
    <xf numFmtId="172" fontId="39" fillId="24" borderId="50" xfId="1" applyNumberFormat="1" applyFont="1" applyFill="1" applyBorder="1" applyAlignment="1" applyProtection="1">
      <alignment horizontal="center" vertical="center" wrapText="1"/>
    </xf>
    <xf numFmtId="172" fontId="42" fillId="7" borderId="1" xfId="1" applyNumberFormat="1" applyFont="1" applyFill="1" applyBorder="1" applyAlignment="1" applyProtection="1">
      <alignment horizontal="center" vertical="center"/>
    </xf>
    <xf numFmtId="172" fontId="42" fillId="7" borderId="50" xfId="1" applyNumberFormat="1" applyFont="1" applyFill="1" applyBorder="1" applyAlignment="1" applyProtection="1">
      <alignment horizontal="center" vertical="center"/>
    </xf>
    <xf numFmtId="172" fontId="43" fillId="31" borderId="1" xfId="1" applyNumberFormat="1" applyFont="1" applyFill="1" applyBorder="1" applyAlignment="1" applyProtection="1">
      <alignment vertical="center"/>
    </xf>
    <xf numFmtId="172" fontId="39" fillId="31" borderId="1" xfId="1" applyNumberFormat="1" applyFont="1" applyFill="1" applyBorder="1" applyAlignment="1" applyProtection="1">
      <alignment vertical="center"/>
    </xf>
    <xf numFmtId="172" fontId="42" fillId="0" borderId="0" xfId="1" applyNumberFormat="1" applyFont="1" applyFill="1" applyBorder="1" applyAlignment="1" applyProtection="1">
      <alignment vertical="center"/>
    </xf>
    <xf numFmtId="172" fontId="48" fillId="19" borderId="1" xfId="1" applyNumberFormat="1" applyFont="1" applyFill="1" applyBorder="1" applyAlignment="1" applyProtection="1">
      <alignment vertical="center"/>
    </xf>
    <xf numFmtId="172" fontId="39" fillId="19" borderId="1" xfId="1" applyNumberFormat="1" applyFont="1" applyFill="1" applyBorder="1" applyAlignment="1" applyProtection="1">
      <alignment vertical="center"/>
    </xf>
    <xf numFmtId="172" fontId="37" fillId="27" borderId="1" xfId="1" applyNumberFormat="1" applyFont="1" applyFill="1" applyBorder="1" applyAlignment="1" applyProtection="1">
      <alignment vertical="center"/>
    </xf>
    <xf numFmtId="172" fontId="37" fillId="27" borderId="1" xfId="1" applyNumberFormat="1" applyFont="1" applyFill="1" applyBorder="1" applyProtection="1"/>
    <xf numFmtId="172" fontId="43" fillId="5" borderId="1" xfId="1" applyNumberFormat="1" applyFont="1" applyFill="1" applyBorder="1" applyAlignment="1" applyProtection="1">
      <alignment vertical="center"/>
    </xf>
    <xf numFmtId="172" fontId="37" fillId="26" borderId="1" xfId="1" applyNumberFormat="1" applyFont="1" applyFill="1" applyBorder="1" applyAlignment="1" applyProtection="1">
      <alignment vertical="center"/>
    </xf>
    <xf numFmtId="172" fontId="37" fillId="10" borderId="1" xfId="1" applyNumberFormat="1" applyFont="1" applyFill="1" applyBorder="1" applyAlignment="1" applyProtection="1">
      <alignment horizontal="center" vertical="center"/>
    </xf>
    <xf numFmtId="172" fontId="37" fillId="10" borderId="2" xfId="1" applyNumberFormat="1" applyFont="1" applyFill="1" applyBorder="1" applyAlignment="1" applyProtection="1">
      <alignment horizontal="center" vertical="center"/>
    </xf>
    <xf numFmtId="172" fontId="37" fillId="10" borderId="61" xfId="1" applyNumberFormat="1" applyFont="1" applyFill="1" applyBorder="1" applyAlignment="1" applyProtection="1">
      <alignment horizontal="center" vertical="center"/>
    </xf>
    <xf numFmtId="167" fontId="42" fillId="0" borderId="0" xfId="2" applyNumberFormat="1" applyFont="1" applyFill="1" applyBorder="1" applyAlignment="1" applyProtection="1">
      <alignment vertical="center"/>
      <protection locked="0"/>
    </xf>
    <xf numFmtId="167" fontId="43" fillId="0" borderId="0" xfId="2" applyNumberFormat="1" applyFont="1" applyFill="1" applyBorder="1" applyAlignment="1" applyProtection="1">
      <alignment vertical="center"/>
      <protection locked="0"/>
    </xf>
    <xf numFmtId="173" fontId="16" fillId="7" borderId="1" xfId="4" applyNumberFormat="1" applyFont="1" applyFill="1" applyBorder="1" applyAlignment="1" applyProtection="1">
      <alignment vertical="center"/>
    </xf>
    <xf numFmtId="173" fontId="39" fillId="7" borderId="1" xfId="4" applyNumberFormat="1" applyFont="1" applyFill="1" applyBorder="1" applyAlignment="1" applyProtection="1">
      <alignment vertical="center"/>
    </xf>
    <xf numFmtId="0" fontId="53" fillId="34" borderId="0" xfId="0" applyFont="1" applyFill="1" applyBorder="1" applyAlignment="1" applyProtection="1">
      <alignment vertical="center"/>
    </xf>
    <xf numFmtId="0" fontId="54" fillId="34" borderId="0" xfId="0" applyFont="1" applyFill="1" applyBorder="1" applyAlignment="1" applyProtection="1">
      <alignment vertical="center"/>
    </xf>
    <xf numFmtId="0" fontId="53" fillId="34" borderId="54" xfId="0" applyFont="1" applyFill="1" applyBorder="1" applyAlignment="1" applyProtection="1">
      <alignment vertical="center"/>
    </xf>
    <xf numFmtId="0" fontId="53" fillId="34" borderId="33" xfId="0" applyFont="1" applyFill="1" applyBorder="1" applyAlignment="1" applyProtection="1">
      <alignment vertical="center"/>
    </xf>
    <xf numFmtId="9" fontId="53" fillId="34" borderId="0" xfId="0" applyNumberFormat="1" applyFont="1" applyFill="1" applyBorder="1" applyAlignment="1" applyProtection="1">
      <alignment vertical="center"/>
    </xf>
    <xf numFmtId="0" fontId="54" fillId="34" borderId="0" xfId="0" applyFont="1" applyFill="1" applyBorder="1" applyAlignment="1" applyProtection="1">
      <alignment horizontal="left" vertical="center"/>
    </xf>
    <xf numFmtId="0" fontId="53" fillId="34" borderId="0" xfId="0" applyFont="1" applyFill="1" applyBorder="1" applyAlignment="1" applyProtection="1">
      <alignment horizontal="left" vertical="center"/>
    </xf>
    <xf numFmtId="0" fontId="53" fillId="34" borderId="0" xfId="0" applyFont="1" applyFill="1" applyBorder="1" applyAlignment="1" applyProtection="1">
      <alignment horizontal="center" vertical="center"/>
    </xf>
    <xf numFmtId="0" fontId="53" fillId="34" borderId="0" xfId="0" applyFont="1" applyFill="1" applyBorder="1" applyAlignment="1" applyProtection="1">
      <alignment horizontal="right" vertical="center"/>
    </xf>
    <xf numFmtId="9" fontId="53" fillId="34" borderId="0" xfId="2" applyFont="1" applyFill="1" applyBorder="1" applyAlignment="1" applyProtection="1">
      <alignment vertical="center"/>
    </xf>
    <xf numFmtId="0" fontId="53" fillId="34" borderId="1" xfId="0" applyFont="1" applyFill="1" applyBorder="1" applyAlignment="1" applyProtection="1">
      <alignment vertical="center"/>
    </xf>
    <xf numFmtId="167" fontId="53" fillId="34" borderId="0" xfId="2" applyNumberFormat="1" applyFont="1" applyFill="1" applyBorder="1" applyProtection="1"/>
    <xf numFmtId="0" fontId="53" fillId="34" borderId="39" xfId="0" applyFont="1" applyFill="1" applyBorder="1" applyAlignment="1" applyProtection="1">
      <alignment vertical="center"/>
    </xf>
    <xf numFmtId="0" fontId="53" fillId="34" borderId="41" xfId="0" applyFont="1" applyFill="1" applyBorder="1" applyAlignment="1" applyProtection="1">
      <alignment vertical="center"/>
    </xf>
    <xf numFmtId="0" fontId="53" fillId="34" borderId="42" xfId="0" applyFont="1" applyFill="1" applyBorder="1" applyAlignment="1" applyProtection="1">
      <alignment vertical="center"/>
    </xf>
    <xf numFmtId="0" fontId="42" fillId="33" borderId="26" xfId="0" applyFont="1" applyFill="1" applyBorder="1" applyProtection="1">
      <protection locked="0"/>
    </xf>
    <xf numFmtId="0" fontId="42" fillId="33" borderId="35" xfId="0" applyFont="1" applyFill="1" applyBorder="1" applyProtection="1">
      <protection locked="0"/>
    </xf>
    <xf numFmtId="172" fontId="43" fillId="7" borderId="43" xfId="1" applyNumberFormat="1" applyFont="1" applyFill="1" applyBorder="1" applyAlignment="1" applyProtection="1">
      <alignment vertical="center"/>
    </xf>
    <xf numFmtId="172" fontId="39" fillId="31" borderId="61" xfId="1" applyNumberFormat="1" applyFont="1" applyFill="1" applyBorder="1" applyAlignment="1" applyProtection="1">
      <alignment vertical="center"/>
    </xf>
    <xf numFmtId="172" fontId="48" fillId="19" borderId="66" xfId="1" applyNumberFormat="1" applyFont="1" applyFill="1" applyBorder="1" applyAlignment="1" applyProtection="1">
      <alignment vertical="center"/>
    </xf>
    <xf numFmtId="172" fontId="39" fillId="19" borderId="61" xfId="1" applyNumberFormat="1" applyFont="1" applyFill="1" applyBorder="1" applyAlignment="1" applyProtection="1">
      <alignment vertical="center"/>
    </xf>
    <xf numFmtId="172" fontId="37" fillId="27" borderId="66" xfId="1" applyNumberFormat="1" applyFont="1" applyFill="1" applyBorder="1" applyProtection="1"/>
    <xf numFmtId="172" fontId="37" fillId="27" borderId="61" xfId="1" applyNumberFormat="1" applyFont="1" applyFill="1" applyBorder="1" applyAlignment="1" applyProtection="1">
      <alignment vertical="center"/>
    </xf>
    <xf numFmtId="172" fontId="43" fillId="5" borderId="73" xfId="1" applyNumberFormat="1" applyFont="1" applyFill="1" applyBorder="1" applyAlignment="1" applyProtection="1">
      <alignment vertical="center"/>
    </xf>
    <xf numFmtId="172" fontId="37" fillId="26" borderId="66" xfId="1" applyNumberFormat="1" applyFont="1" applyFill="1" applyBorder="1" applyAlignment="1" applyProtection="1">
      <alignment vertical="center"/>
    </xf>
    <xf numFmtId="0" fontId="42" fillId="34" borderId="40" xfId="0" applyFont="1" applyFill="1" applyBorder="1" applyAlignment="1" applyProtection="1">
      <alignment vertical="center"/>
      <protection locked="0"/>
    </xf>
    <xf numFmtId="9" fontId="42" fillId="34" borderId="40" xfId="0" applyNumberFormat="1" applyFont="1" applyFill="1" applyBorder="1" applyAlignment="1" applyProtection="1">
      <alignment vertical="center"/>
      <protection locked="0"/>
    </xf>
    <xf numFmtId="0" fontId="42" fillId="34" borderId="43" xfId="0" applyFont="1" applyFill="1" applyBorder="1" applyAlignment="1" applyProtection="1">
      <alignment vertical="center"/>
      <protection locked="0"/>
    </xf>
    <xf numFmtId="0" fontId="42" fillId="33" borderId="59" xfId="0" applyFont="1" applyFill="1" applyBorder="1" applyProtection="1">
      <protection locked="0"/>
    </xf>
    <xf numFmtId="172" fontId="42" fillId="28" borderId="28" xfId="1" applyNumberFormat="1" applyFont="1" applyFill="1" applyBorder="1" applyProtection="1">
      <protection locked="0"/>
    </xf>
    <xf numFmtId="9" fontId="53" fillId="34" borderId="0" xfId="2" applyFont="1" applyFill="1" applyBorder="1" applyAlignment="1" applyProtection="1">
      <alignment horizontal="center" vertical="center"/>
    </xf>
    <xf numFmtId="10" fontId="53" fillId="34" borderId="0" xfId="2" applyNumberFormat="1" applyFont="1" applyFill="1" applyBorder="1" applyAlignment="1" applyProtection="1">
      <alignment horizontal="center" vertical="center"/>
    </xf>
    <xf numFmtId="0" fontId="53" fillId="34" borderId="40" xfId="0" applyFont="1" applyFill="1" applyBorder="1" applyAlignment="1" applyProtection="1">
      <alignment horizontal="center" vertical="center"/>
      <protection locked="0"/>
    </xf>
    <xf numFmtId="10" fontId="53" fillId="34" borderId="40" xfId="0" applyNumberFormat="1" applyFont="1" applyFill="1" applyBorder="1" applyAlignment="1" applyProtection="1">
      <alignment horizontal="center" vertical="center"/>
      <protection locked="0"/>
    </xf>
    <xf numFmtId="172" fontId="38" fillId="28" borderId="29" xfId="1" applyNumberFormat="1" applyFont="1" applyFill="1" applyBorder="1" applyProtection="1">
      <protection locked="0"/>
    </xf>
    <xf numFmtId="172" fontId="38" fillId="28" borderId="5" xfId="1" applyNumberFormat="1" applyFont="1" applyFill="1" applyBorder="1" applyProtection="1">
      <protection locked="0"/>
    </xf>
    <xf numFmtId="168" fontId="47" fillId="28" borderId="49" xfId="5" applyNumberFormat="1" applyFont="1" applyFill="1" applyBorder="1" applyAlignment="1" applyProtection="1">
      <alignment vertical="center"/>
      <protection locked="0"/>
    </xf>
    <xf numFmtId="168" fontId="47" fillId="28" borderId="33" xfId="5" applyNumberFormat="1" applyFont="1" applyFill="1" applyBorder="1" applyAlignment="1" applyProtection="1">
      <alignment vertical="center"/>
      <protection locked="0"/>
    </xf>
    <xf numFmtId="168" fontId="47" fillId="28" borderId="33" xfId="4" applyNumberFormat="1" applyFont="1" applyFill="1" applyBorder="1" applyAlignment="1" applyProtection="1">
      <alignment vertical="center"/>
      <protection locked="0"/>
    </xf>
    <xf numFmtId="0" fontId="10" fillId="28" borderId="29" xfId="0" applyFont="1" applyFill="1" applyBorder="1" applyAlignment="1" applyProtection="1">
      <alignment vertical="center"/>
      <protection locked="0"/>
    </xf>
    <xf numFmtId="168" fontId="10" fillId="28" borderId="32" xfId="5" applyNumberFormat="1" applyFont="1" applyFill="1" applyBorder="1" applyProtection="1">
      <protection locked="0"/>
    </xf>
    <xf numFmtId="170" fontId="15" fillId="28" borderId="20" xfId="0" applyNumberFormat="1" applyFont="1" applyFill="1" applyBorder="1" applyAlignment="1" applyProtection="1">
      <alignment vertical="center"/>
      <protection locked="0"/>
    </xf>
    <xf numFmtId="0" fontId="14" fillId="28" borderId="7" xfId="0" applyFont="1" applyFill="1" applyBorder="1" applyProtection="1">
      <protection locked="0"/>
    </xf>
    <xf numFmtId="172" fontId="14" fillId="28" borderId="7" xfId="1" applyNumberFormat="1" applyFont="1" applyFill="1" applyBorder="1" applyAlignment="1" applyProtection="1">
      <alignment horizontal="center"/>
      <protection locked="0"/>
    </xf>
    <xf numFmtId="172" fontId="14" fillId="28" borderId="7" xfId="1" applyNumberFormat="1" applyFont="1" applyFill="1" applyBorder="1" applyProtection="1">
      <protection locked="0"/>
    </xf>
    <xf numFmtId="0" fontId="42" fillId="0" borderId="0" xfId="0" applyFont="1" applyFill="1" applyBorder="1" applyAlignment="1" applyProtection="1">
      <alignment vertical="top"/>
    </xf>
    <xf numFmtId="0" fontId="53" fillId="34" borderId="36" xfId="0" applyFont="1" applyFill="1" applyBorder="1" applyAlignment="1" applyProtection="1">
      <alignment vertical="center"/>
    </xf>
    <xf numFmtId="0" fontId="42" fillId="34" borderId="38" xfId="0" applyFont="1" applyFill="1" applyBorder="1" applyAlignment="1" applyProtection="1">
      <alignment vertical="center"/>
      <protection locked="0"/>
    </xf>
    <xf numFmtId="172" fontId="10" fillId="28" borderId="12" xfId="1" applyNumberFormat="1" applyFont="1" applyFill="1" applyBorder="1" applyAlignment="1" applyProtection="1">
      <protection locked="0"/>
    </xf>
    <xf numFmtId="172" fontId="10" fillId="28" borderId="33" xfId="1" applyNumberFormat="1" applyFont="1" applyFill="1" applyBorder="1" applyAlignment="1" applyProtection="1">
      <protection locked="0"/>
    </xf>
    <xf numFmtId="172" fontId="13" fillId="28" borderId="12" xfId="1" applyNumberFormat="1" applyFont="1" applyFill="1" applyBorder="1" applyAlignment="1" applyProtection="1">
      <protection locked="0"/>
    </xf>
    <xf numFmtId="172" fontId="13" fillId="28" borderId="33" xfId="1" applyNumberFormat="1" applyFont="1" applyFill="1" applyBorder="1" applyAlignment="1" applyProtection="1">
      <protection locked="0"/>
    </xf>
    <xf numFmtId="172" fontId="16" fillId="28" borderId="27" xfId="1" applyNumberFormat="1" applyFont="1" applyFill="1" applyBorder="1" applyAlignment="1" applyProtection="1">
      <alignment vertical="center"/>
      <protection locked="0"/>
    </xf>
    <xf numFmtId="172" fontId="16" fillId="28" borderId="64" xfId="1" applyNumberFormat="1" applyFont="1" applyFill="1" applyBorder="1" applyAlignment="1" applyProtection="1">
      <alignment vertical="center"/>
      <protection locked="0"/>
    </xf>
    <xf numFmtId="9" fontId="53" fillId="34" borderId="0" xfId="2" applyNumberFormat="1" applyFont="1" applyFill="1" applyBorder="1" applyAlignment="1" applyProtection="1">
      <alignment horizontal="center" vertical="center"/>
    </xf>
    <xf numFmtId="9" fontId="53" fillId="34" borderId="0" xfId="2" applyNumberFormat="1" applyFont="1" applyFill="1" applyBorder="1" applyAlignment="1" applyProtection="1">
      <alignment vertical="center"/>
    </xf>
    <xf numFmtId="0" fontId="42" fillId="33" borderId="35" xfId="0" applyFont="1" applyFill="1" applyBorder="1" applyAlignment="1" applyProtection="1">
      <alignment vertical="center"/>
      <protection locked="0"/>
    </xf>
    <xf numFmtId="0" fontId="42" fillId="33" borderId="59" xfId="0" applyFont="1" applyFill="1" applyBorder="1" applyAlignment="1" applyProtection="1">
      <alignment vertical="center"/>
      <protection locked="0"/>
    </xf>
    <xf numFmtId="0" fontId="42" fillId="33" borderId="53" xfId="0" applyFont="1" applyFill="1" applyBorder="1" applyAlignment="1" applyProtection="1">
      <alignment vertical="center"/>
      <protection locked="0"/>
    </xf>
    <xf numFmtId="0" fontId="42" fillId="33" borderId="62" xfId="0" applyFont="1" applyFill="1" applyBorder="1" applyAlignment="1" applyProtection="1">
      <alignment vertical="center"/>
      <protection locked="0"/>
    </xf>
    <xf numFmtId="10" fontId="53" fillId="34" borderId="1" xfId="2" applyNumberFormat="1" applyFont="1" applyFill="1" applyBorder="1" applyAlignment="1" applyProtection="1">
      <alignment vertical="center"/>
    </xf>
    <xf numFmtId="43" fontId="52" fillId="10" borderId="1" xfId="1" applyNumberFormat="1" applyFont="1" applyFill="1" applyBorder="1" applyAlignment="1" applyProtection="1">
      <alignment vertical="center"/>
      <protection locked="0"/>
    </xf>
    <xf numFmtId="0" fontId="37" fillId="20" borderId="1" xfId="0" applyFont="1" applyFill="1" applyBorder="1" applyAlignment="1" applyProtection="1">
      <alignment horizontal="left" vertical="center"/>
    </xf>
    <xf numFmtId="0" fontId="42" fillId="5" borderId="1" xfId="0" applyFont="1" applyFill="1" applyBorder="1" applyAlignment="1" applyProtection="1">
      <alignment horizontal="left" vertical="center"/>
    </xf>
    <xf numFmtId="0" fontId="43" fillId="31" borderId="1" xfId="0" applyFont="1" applyFill="1" applyBorder="1" applyAlignment="1" applyProtection="1">
      <alignment horizontal="left" vertical="center"/>
    </xf>
    <xf numFmtId="0" fontId="39" fillId="31" borderId="1" xfId="0" applyFont="1" applyFill="1" applyBorder="1" applyAlignment="1" applyProtection="1">
      <alignment horizontal="left" vertical="center"/>
    </xf>
    <xf numFmtId="0" fontId="39" fillId="24" borderId="7" xfId="0" applyFont="1" applyFill="1" applyBorder="1" applyAlignment="1" applyProtection="1">
      <alignment horizontal="center" vertical="center" wrapText="1"/>
    </xf>
    <xf numFmtId="0" fontId="39" fillId="24" borderId="32" xfId="0" applyFont="1" applyFill="1" applyBorder="1" applyAlignment="1" applyProtection="1">
      <alignment horizontal="center" vertical="center" wrapText="1"/>
    </xf>
    <xf numFmtId="172" fontId="47" fillId="28" borderId="75" xfId="1" applyNumberFormat="1" applyFont="1" applyFill="1" applyBorder="1" applyAlignment="1" applyProtection="1">
      <alignment vertical="center"/>
      <protection locked="0"/>
    </xf>
    <xf numFmtId="0" fontId="42" fillId="0" borderId="35" xfId="0" applyFont="1" applyFill="1" applyBorder="1" applyAlignment="1" applyProtection="1">
      <alignment vertical="center"/>
      <protection locked="0"/>
    </xf>
    <xf numFmtId="172" fontId="47" fillId="28" borderId="54" xfId="1" applyNumberFormat="1" applyFont="1" applyFill="1" applyBorder="1" applyAlignment="1" applyProtection="1">
      <alignment vertical="center"/>
      <protection locked="0"/>
    </xf>
    <xf numFmtId="172" fontId="42" fillId="28" borderId="54" xfId="1" applyNumberFormat="1" applyFont="1" applyFill="1" applyBorder="1" applyAlignment="1" applyProtection="1">
      <alignment vertical="center"/>
      <protection locked="0"/>
    </xf>
    <xf numFmtId="172" fontId="42" fillId="28" borderId="70" xfId="1" applyNumberFormat="1" applyFont="1" applyFill="1" applyBorder="1" applyAlignment="1" applyProtection="1">
      <alignment vertical="center"/>
      <protection locked="0"/>
    </xf>
    <xf numFmtId="172" fontId="42" fillId="28" borderId="63" xfId="1" applyNumberFormat="1" applyFont="1" applyFill="1" applyBorder="1" applyAlignment="1" applyProtection="1">
      <alignment vertical="center"/>
      <protection locked="0"/>
    </xf>
    <xf numFmtId="172" fontId="42" fillId="10" borderId="27" xfId="1" applyNumberFormat="1" applyFont="1" applyFill="1" applyBorder="1" applyAlignment="1" applyProtection="1">
      <alignment vertical="center"/>
      <protection locked="0"/>
    </xf>
    <xf numFmtId="173" fontId="42" fillId="0" borderId="0" xfId="0" applyNumberFormat="1" applyFont="1" applyFill="1" applyBorder="1" applyAlignment="1" applyProtection="1">
      <alignment vertical="center"/>
      <protection locked="0"/>
    </xf>
    <xf numFmtId="172" fontId="43" fillId="25" borderId="1" xfId="1" applyNumberFormat="1" applyFont="1" applyFill="1" applyBorder="1" applyAlignment="1" applyProtection="1">
      <alignment horizontal="center" vertical="center"/>
      <protection locked="0"/>
    </xf>
    <xf numFmtId="0" fontId="43" fillId="25" borderId="8" xfId="0" applyFont="1" applyFill="1" applyBorder="1" applyAlignment="1" applyProtection="1">
      <alignment horizontal="left" vertical="center"/>
      <protection locked="0"/>
    </xf>
    <xf numFmtId="0" fontId="54" fillId="34" borderId="0" xfId="0" applyFont="1" applyFill="1" applyBorder="1" applyAlignment="1" applyProtection="1">
      <alignment horizontal="center" vertical="center"/>
    </xf>
    <xf numFmtId="172" fontId="52" fillId="10" borderId="11" xfId="1" applyNumberFormat="1" applyFont="1" applyFill="1" applyBorder="1" applyAlignment="1" applyProtection="1">
      <alignment horizontal="center"/>
      <protection locked="0"/>
    </xf>
    <xf numFmtId="9" fontId="52" fillId="10" borderId="11" xfId="2" applyFont="1" applyFill="1" applyBorder="1" applyAlignment="1" applyProtection="1">
      <alignment horizontal="center"/>
      <protection locked="0"/>
    </xf>
    <xf numFmtId="170" fontId="5" fillId="28" borderId="32" xfId="0" applyNumberFormat="1" applyFont="1" applyFill="1" applyBorder="1" applyProtection="1">
      <protection locked="0"/>
    </xf>
    <xf numFmtId="0" fontId="7" fillId="28" borderId="1" xfId="0" applyFont="1" applyFill="1" applyBorder="1" applyProtection="1">
      <protection locked="0"/>
    </xf>
    <xf numFmtId="0" fontId="6" fillId="28" borderId="33" xfId="0" applyFont="1" applyFill="1" applyBorder="1" applyAlignment="1" applyProtection="1">
      <protection locked="0"/>
    </xf>
    <xf numFmtId="0" fontId="7" fillId="28" borderId="1" xfId="0" applyFont="1" applyFill="1" applyBorder="1" applyAlignment="1" applyProtection="1">
      <alignment horizontal="left"/>
      <protection locked="0"/>
    </xf>
    <xf numFmtId="170" fontId="7" fillId="28" borderId="7" xfId="0" applyNumberFormat="1" applyFont="1" applyFill="1" applyBorder="1" applyProtection="1">
      <protection locked="0"/>
    </xf>
    <xf numFmtId="0" fontId="6" fillId="28" borderId="12" xfId="0" applyFont="1" applyFill="1" applyBorder="1" applyAlignment="1" applyProtection="1">
      <protection locked="0"/>
    </xf>
    <xf numFmtId="0" fontId="7" fillId="28" borderId="12" xfId="0" applyFont="1" applyFill="1" applyBorder="1" applyAlignment="1" applyProtection="1">
      <protection locked="0"/>
    </xf>
    <xf numFmtId="0" fontId="7" fillId="28" borderId="33" xfId="0" applyFont="1" applyFill="1" applyBorder="1" applyAlignment="1" applyProtection="1">
      <protection locked="0"/>
    </xf>
    <xf numFmtId="0" fontId="42" fillId="28" borderId="32" xfId="0" applyFont="1" applyFill="1" applyBorder="1" applyAlignment="1" applyProtection="1">
      <protection locked="0"/>
    </xf>
    <xf numFmtId="0" fontId="42" fillId="28" borderId="1" xfId="0" applyFont="1" applyFill="1" applyBorder="1" applyAlignment="1" applyProtection="1">
      <protection locked="0"/>
    </xf>
    <xf numFmtId="0" fontId="42" fillId="33" borderId="29" xfId="3" applyFont="1" applyFill="1" applyBorder="1" applyProtection="1">
      <protection locked="0"/>
    </xf>
    <xf numFmtId="0" fontId="37" fillId="20" borderId="16" xfId="0" applyFont="1" applyFill="1" applyBorder="1" applyAlignment="1" applyProtection="1">
      <alignment horizontal="left" vertical="center"/>
    </xf>
    <xf numFmtId="172" fontId="39" fillId="29" borderId="11" xfId="1" applyNumberFormat="1" applyFont="1" applyFill="1" applyBorder="1" applyAlignment="1" applyProtection="1">
      <alignment horizontal="center" vertical="center"/>
    </xf>
    <xf numFmtId="0" fontId="43" fillId="35" borderId="3" xfId="0" applyFont="1" applyFill="1" applyBorder="1" applyAlignment="1" applyProtection="1">
      <alignment horizontal="left" vertical="center"/>
    </xf>
    <xf numFmtId="0" fontId="43" fillId="35" borderId="8" xfId="0" applyFont="1" applyFill="1" applyBorder="1" applyAlignment="1" applyProtection="1">
      <alignment horizontal="left" vertical="center"/>
    </xf>
    <xf numFmtId="0" fontId="39" fillId="31" borderId="5" xfId="0" applyFont="1" applyFill="1" applyBorder="1" applyAlignment="1" applyProtection="1">
      <alignment horizontal="left" vertical="center"/>
    </xf>
    <xf numFmtId="168" fontId="48" fillId="19" borderId="3" xfId="4" applyNumberFormat="1" applyFont="1" applyFill="1" applyBorder="1" applyAlignment="1" applyProtection="1">
      <alignment vertical="center"/>
    </xf>
    <xf numFmtId="0" fontId="39" fillId="19" borderId="5" xfId="0" applyFont="1" applyFill="1" applyBorder="1" applyAlignment="1" applyProtection="1">
      <alignment horizontal="left" vertical="center"/>
    </xf>
    <xf numFmtId="0" fontId="37" fillId="27" borderId="3" xfId="0" applyFont="1" applyFill="1" applyBorder="1" applyAlignment="1" applyProtection="1">
      <alignment horizontal="left"/>
    </xf>
    <xf numFmtId="0" fontId="45" fillId="27" borderId="5" xfId="0" applyFont="1" applyFill="1" applyBorder="1" applyAlignment="1" applyProtection="1">
      <alignment vertical="center"/>
    </xf>
    <xf numFmtId="0" fontId="43" fillId="0" borderId="19" xfId="0" applyFont="1" applyFill="1" applyBorder="1" applyAlignment="1" applyProtection="1">
      <alignment horizontal="left" vertical="center"/>
    </xf>
    <xf numFmtId="0" fontId="37" fillId="26" borderId="3" xfId="0" applyFont="1" applyFill="1" applyBorder="1" applyAlignment="1" applyProtection="1">
      <alignment horizontal="left" vertical="center"/>
    </xf>
    <xf numFmtId="9" fontId="37" fillId="10" borderId="61" xfId="2" applyFont="1" applyFill="1" applyBorder="1" applyAlignment="1" applyProtection="1">
      <alignment vertical="center"/>
    </xf>
    <xf numFmtId="172" fontId="42" fillId="0" borderId="0" xfId="1" applyNumberFormat="1" applyFont="1" applyFill="1" applyBorder="1" applyAlignment="1" applyProtection="1">
      <alignment horizontal="left" vertical="center"/>
    </xf>
    <xf numFmtId="0" fontId="50" fillId="32" borderId="16" xfId="0" applyFont="1" applyFill="1" applyBorder="1" applyAlignment="1" applyProtection="1">
      <alignment vertical="center"/>
    </xf>
    <xf numFmtId="0" fontId="50" fillId="32" borderId="15" xfId="0" applyFont="1" applyFill="1" applyBorder="1" applyAlignment="1" applyProtection="1">
      <alignment vertical="center"/>
    </xf>
    <xf numFmtId="172" fontId="50" fillId="32" borderId="15" xfId="1" applyNumberFormat="1" applyFont="1" applyFill="1" applyBorder="1" applyAlignment="1" applyProtection="1">
      <alignment vertical="center"/>
    </xf>
    <xf numFmtId="0" fontId="50" fillId="32" borderId="17" xfId="0" applyFont="1" applyFill="1" applyBorder="1" applyAlignment="1" applyProtection="1">
      <alignment vertical="center"/>
    </xf>
    <xf numFmtId="0" fontId="43" fillId="0" borderId="0" xfId="0" applyFont="1" applyFill="1" applyBorder="1" applyAlignment="1" applyProtection="1">
      <alignment vertical="center"/>
    </xf>
    <xf numFmtId="43" fontId="42" fillId="0" borderId="0" xfId="1" applyFont="1" applyFill="1" applyBorder="1" applyAlignment="1" applyProtection="1">
      <alignment vertical="center"/>
    </xf>
    <xf numFmtId="0" fontId="42" fillId="0" borderId="40" xfId="0" applyFont="1" applyFill="1" applyBorder="1" applyAlignment="1" applyProtection="1">
      <alignment vertical="center"/>
    </xf>
    <xf numFmtId="172" fontId="43" fillId="24" borderId="1" xfId="1" applyNumberFormat="1" applyFont="1" applyFill="1" applyBorder="1" applyAlignment="1" applyProtection="1">
      <alignment horizontal="left" vertical="center"/>
    </xf>
    <xf numFmtId="172" fontId="42" fillId="28" borderId="2" xfId="1" applyNumberFormat="1" applyFont="1" applyFill="1" applyBorder="1" applyAlignment="1" applyProtection="1">
      <alignment vertical="center"/>
    </xf>
    <xf numFmtId="172" fontId="42" fillId="0" borderId="42" xfId="1" applyNumberFormat="1" applyFont="1" applyFill="1" applyBorder="1" applyAlignment="1" applyProtection="1">
      <alignment vertical="center"/>
    </xf>
    <xf numFmtId="0" fontId="42" fillId="0" borderId="42" xfId="0" applyFont="1" applyFill="1" applyBorder="1" applyAlignment="1" applyProtection="1">
      <alignment vertical="center"/>
    </xf>
    <xf numFmtId="0" fontId="42" fillId="0" borderId="43" xfId="0" applyFont="1" applyFill="1" applyBorder="1" applyAlignment="1" applyProtection="1">
      <alignment vertical="center"/>
    </xf>
    <xf numFmtId="0" fontId="39" fillId="24" borderId="65" xfId="0" applyFont="1" applyFill="1" applyBorder="1" applyAlignment="1" applyProtection="1">
      <alignment horizontal="center" vertical="center"/>
    </xf>
    <xf numFmtId="0" fontId="39" fillId="24" borderId="21" xfId="0" applyFont="1" applyFill="1" applyBorder="1" applyAlignment="1" applyProtection="1">
      <alignment horizontal="center" vertical="center"/>
    </xf>
    <xf numFmtId="0" fontId="39" fillId="24" borderId="67" xfId="0" applyFont="1" applyFill="1" applyBorder="1" applyAlignment="1" applyProtection="1">
      <alignment horizontal="center" vertical="center"/>
    </xf>
    <xf numFmtId="0" fontId="53" fillId="34" borderId="12" xfId="0" applyFont="1" applyFill="1" applyBorder="1" applyAlignment="1" applyProtection="1">
      <alignment vertical="center"/>
    </xf>
    <xf numFmtId="0" fontId="54" fillId="34" borderId="33" xfId="0" applyFont="1" applyFill="1" applyBorder="1" applyAlignment="1" applyProtection="1">
      <alignment horizontal="center" vertical="center"/>
    </xf>
    <xf numFmtId="0" fontId="54" fillId="34" borderId="1" xfId="0" applyFont="1" applyFill="1" applyBorder="1" applyAlignment="1" applyProtection="1">
      <alignment horizontal="center" vertical="center"/>
    </xf>
    <xf numFmtId="10" fontId="53" fillId="34" borderId="33" xfId="2" applyNumberFormat="1" applyFont="1" applyFill="1" applyBorder="1" applyAlignment="1" applyProtection="1">
      <alignment horizontal="center" vertical="center"/>
    </xf>
    <xf numFmtId="10" fontId="53" fillId="34" borderId="1" xfId="2" applyNumberFormat="1" applyFont="1" applyFill="1" applyBorder="1" applyAlignment="1" applyProtection="1">
      <alignment horizontal="center" vertical="center"/>
    </xf>
    <xf numFmtId="9" fontId="53" fillId="34" borderId="12" xfId="0" applyNumberFormat="1" applyFont="1" applyFill="1" applyBorder="1" applyAlignment="1" applyProtection="1">
      <alignment vertical="center"/>
    </xf>
    <xf numFmtId="0" fontId="39" fillId="7" borderId="11" xfId="0" applyFont="1" applyFill="1" applyBorder="1" applyAlignment="1" applyProtection="1">
      <alignment vertical="center"/>
    </xf>
    <xf numFmtId="0" fontId="39" fillId="7" borderId="51" xfId="0" applyFont="1" applyFill="1" applyBorder="1" applyAlignment="1" applyProtection="1">
      <alignment horizontal="right" vertical="center"/>
    </xf>
    <xf numFmtId="172" fontId="39" fillId="7" borderId="9" xfId="1" applyNumberFormat="1" applyFont="1" applyFill="1" applyBorder="1" applyAlignment="1" applyProtection="1">
      <alignment vertical="center"/>
    </xf>
    <xf numFmtId="168" fontId="39" fillId="7" borderId="51" xfId="4" applyNumberFormat="1" applyFont="1" applyFill="1" applyBorder="1" applyAlignment="1" applyProtection="1">
      <alignment vertical="center"/>
    </xf>
    <xf numFmtId="168" fontId="39" fillId="7" borderId="17" xfId="4" applyNumberFormat="1" applyFont="1" applyFill="1" applyBorder="1" applyAlignment="1" applyProtection="1">
      <alignment vertical="center"/>
    </xf>
    <xf numFmtId="0" fontId="42" fillId="0" borderId="0" xfId="0" applyFont="1" applyFill="1" applyBorder="1" applyAlignment="1" applyProtection="1">
      <alignment horizontal="left" vertical="center"/>
    </xf>
    <xf numFmtId="166" fontId="43" fillId="0" borderId="0" xfId="1" applyNumberFormat="1" applyFont="1" applyFill="1" applyBorder="1" applyAlignment="1" applyProtection="1">
      <alignment horizontal="center" vertical="center"/>
    </xf>
    <xf numFmtId="172" fontId="42" fillId="0" borderId="0" xfId="1" applyNumberFormat="1" applyFont="1" applyFill="1" applyBorder="1" applyAlignment="1" applyProtection="1">
      <alignment horizontal="center" vertical="center"/>
    </xf>
    <xf numFmtId="0" fontId="42" fillId="0" borderId="0" xfId="0" applyFont="1" applyFill="1" applyBorder="1" applyAlignment="1" applyProtection="1">
      <alignment horizontal="right" vertical="center"/>
    </xf>
    <xf numFmtId="168" fontId="43" fillId="7" borderId="11" xfId="0" applyNumberFormat="1" applyFont="1" applyFill="1" applyBorder="1" applyAlignment="1" applyProtection="1">
      <alignment vertical="center"/>
    </xf>
    <xf numFmtId="0" fontId="43" fillId="24" borderId="30" xfId="0" applyFont="1" applyFill="1" applyBorder="1" applyAlignment="1" applyProtection="1">
      <alignment horizontal="left" vertical="center"/>
    </xf>
    <xf numFmtId="172" fontId="43" fillId="24" borderId="31" xfId="1" applyNumberFormat="1" applyFont="1" applyFill="1" applyBorder="1" applyAlignment="1" applyProtection="1">
      <alignment horizontal="left" vertical="center"/>
    </xf>
    <xf numFmtId="172" fontId="43" fillId="24" borderId="45" xfId="1" applyNumberFormat="1" applyFont="1" applyFill="1" applyBorder="1" applyAlignment="1" applyProtection="1">
      <alignment horizontal="left" vertical="center"/>
    </xf>
    <xf numFmtId="172" fontId="43" fillId="24" borderId="44" xfId="1" applyNumberFormat="1" applyFont="1" applyFill="1" applyBorder="1" applyAlignment="1" applyProtection="1">
      <alignment horizontal="left" vertical="center"/>
    </xf>
    <xf numFmtId="172" fontId="40" fillId="16" borderId="0" xfId="1" applyNumberFormat="1" applyFont="1" applyFill="1" applyBorder="1" applyAlignment="1" applyProtection="1">
      <alignment vertical="center"/>
    </xf>
    <xf numFmtId="0" fontId="40" fillId="16" borderId="0" xfId="0" applyFont="1" applyFill="1" applyBorder="1" applyAlignment="1" applyProtection="1">
      <alignment vertical="center"/>
    </xf>
    <xf numFmtId="0" fontId="40" fillId="16" borderId="40" xfId="0" applyFont="1" applyFill="1" applyBorder="1" applyAlignment="1" applyProtection="1">
      <alignment vertical="center"/>
    </xf>
    <xf numFmtId="172" fontId="42" fillId="0" borderId="68" xfId="1" applyNumberFormat="1" applyFont="1" applyFill="1" applyBorder="1" applyAlignment="1" applyProtection="1">
      <alignment vertical="center"/>
    </xf>
    <xf numFmtId="172" fontId="43" fillId="7" borderId="25" xfId="1" applyNumberFormat="1" applyFont="1" applyFill="1" applyBorder="1" applyAlignment="1" applyProtection="1">
      <alignment vertical="center"/>
    </xf>
    <xf numFmtId="172" fontId="42" fillId="5" borderId="37" xfId="1" applyNumberFormat="1" applyFont="1" applyFill="1" applyBorder="1" applyAlignment="1" applyProtection="1">
      <alignment vertical="center"/>
    </xf>
    <xf numFmtId="0" fontId="42" fillId="5" borderId="37" xfId="0" applyFont="1" applyFill="1" applyBorder="1" applyAlignment="1" applyProtection="1">
      <alignment vertical="center"/>
    </xf>
    <xf numFmtId="0" fontId="42" fillId="5" borderId="38" xfId="0" applyFont="1" applyFill="1" applyBorder="1" applyAlignment="1" applyProtection="1">
      <alignment vertical="center"/>
    </xf>
    <xf numFmtId="172" fontId="43" fillId="7" borderId="26" xfId="1" applyNumberFormat="1" applyFont="1" applyFill="1" applyBorder="1" applyAlignment="1" applyProtection="1">
      <alignment vertical="center"/>
    </xf>
    <xf numFmtId="172" fontId="42" fillId="5" borderId="0" xfId="1" applyNumberFormat="1" applyFont="1" applyFill="1" applyBorder="1" applyAlignment="1" applyProtection="1">
      <alignment vertical="center"/>
    </xf>
    <xf numFmtId="0" fontId="42" fillId="5" borderId="0" xfId="0" applyFont="1" applyFill="1" applyBorder="1" applyAlignment="1" applyProtection="1">
      <alignment vertical="center"/>
    </xf>
    <xf numFmtId="0" fontId="42" fillId="5" borderId="40" xfId="0" applyFont="1" applyFill="1" applyBorder="1" applyAlignment="1" applyProtection="1">
      <alignment vertical="center"/>
    </xf>
    <xf numFmtId="172" fontId="42" fillId="7" borderId="54" xfId="1" applyNumberFormat="1" applyFont="1" applyFill="1" applyBorder="1" applyAlignment="1" applyProtection="1">
      <alignment vertical="center"/>
    </xf>
    <xf numFmtId="172" fontId="43" fillId="5" borderId="12" xfId="1" applyNumberFormat="1" applyFont="1" applyFill="1" applyBorder="1" applyAlignment="1" applyProtection="1">
      <alignment vertical="center"/>
    </xf>
    <xf numFmtId="0" fontId="42" fillId="5" borderId="33" xfId="0" applyFont="1" applyFill="1" applyBorder="1" applyAlignment="1" applyProtection="1">
      <alignment vertical="center"/>
    </xf>
    <xf numFmtId="172" fontId="42" fillId="7" borderId="63" xfId="1" applyNumberFormat="1" applyFont="1" applyFill="1" applyBorder="1" applyAlignment="1" applyProtection="1">
      <alignment vertical="center"/>
    </xf>
    <xf numFmtId="172" fontId="43" fillId="7" borderId="28" xfId="1" applyNumberFormat="1" applyFont="1" applyFill="1" applyBorder="1" applyAlignment="1" applyProtection="1">
      <alignment vertical="center"/>
    </xf>
    <xf numFmtId="172" fontId="42" fillId="5" borderId="42" xfId="1" applyNumberFormat="1" applyFont="1" applyFill="1" applyBorder="1" applyAlignment="1" applyProtection="1">
      <alignment vertical="center"/>
    </xf>
    <xf numFmtId="0" fontId="42" fillId="5" borderId="42" xfId="0" applyFont="1" applyFill="1" applyBorder="1" applyAlignment="1" applyProtection="1">
      <alignment vertical="center"/>
    </xf>
    <xf numFmtId="0" fontId="42" fillId="5" borderId="43" xfId="0" applyFont="1" applyFill="1" applyBorder="1" applyAlignment="1" applyProtection="1">
      <alignment vertical="center"/>
    </xf>
    <xf numFmtId="0" fontId="43" fillId="0" borderId="3" xfId="0" applyFont="1" applyFill="1" applyBorder="1" applyAlignment="1" applyProtection="1">
      <alignment horizontal="left" vertical="center"/>
    </xf>
    <xf numFmtId="172" fontId="42" fillId="5" borderId="4" xfId="1" applyNumberFormat="1" applyFont="1" applyFill="1" applyBorder="1" applyAlignment="1" applyProtection="1">
      <alignment vertical="center"/>
    </xf>
    <xf numFmtId="172" fontId="42" fillId="0" borderId="23" xfId="1" applyNumberFormat="1" applyFont="1" applyFill="1" applyBorder="1" applyAlignment="1" applyProtection="1">
      <alignment vertical="center"/>
    </xf>
    <xf numFmtId="0" fontId="42" fillId="0" borderId="5" xfId="0" applyFont="1" applyFill="1" applyBorder="1" applyAlignment="1" applyProtection="1">
      <alignment vertical="center"/>
    </xf>
    <xf numFmtId="172" fontId="42" fillId="5" borderId="2" xfId="1" applyNumberFormat="1" applyFont="1" applyFill="1" applyBorder="1" applyAlignment="1" applyProtection="1">
      <alignment vertical="center"/>
    </xf>
    <xf numFmtId="172" fontId="42" fillId="7" borderId="68" xfId="1" applyNumberFormat="1" applyFont="1" applyFill="1" applyBorder="1" applyAlignment="1" applyProtection="1">
      <alignment vertical="center"/>
    </xf>
    <xf numFmtId="0" fontId="43" fillId="0" borderId="6" xfId="0" applyFont="1" applyFill="1" applyBorder="1" applyAlignment="1" applyProtection="1">
      <alignment vertical="center"/>
    </xf>
    <xf numFmtId="172" fontId="43" fillId="0" borderId="9" xfId="1" applyNumberFormat="1" applyFont="1" applyFill="1" applyBorder="1" applyAlignment="1" applyProtection="1">
      <alignment vertical="center"/>
    </xf>
    <xf numFmtId="172" fontId="42" fillId="0" borderId="14" xfId="1" applyNumberFormat="1" applyFont="1" applyFill="1" applyBorder="1" applyAlignment="1" applyProtection="1">
      <alignment vertical="center"/>
    </xf>
    <xf numFmtId="172" fontId="43" fillId="7" borderId="11" xfId="1" applyNumberFormat="1" applyFont="1" applyFill="1" applyBorder="1" applyAlignment="1" applyProtection="1">
      <alignment horizontal="right" vertical="center"/>
    </xf>
    <xf numFmtId="172" fontId="43" fillId="7" borderId="11" xfId="0" applyNumberFormat="1" applyFont="1" applyFill="1" applyBorder="1" applyAlignment="1" applyProtection="1">
      <alignment vertical="center"/>
    </xf>
    <xf numFmtId="172" fontId="43" fillId="24" borderId="11" xfId="1" applyNumberFormat="1" applyFont="1" applyFill="1" applyBorder="1" applyAlignment="1" applyProtection="1">
      <alignment horizontal="left" vertical="center"/>
    </xf>
    <xf numFmtId="172" fontId="40" fillId="16" borderId="37" xfId="1" applyNumberFormat="1" applyFont="1" applyFill="1" applyBorder="1" applyAlignment="1" applyProtection="1">
      <alignment vertical="center"/>
    </xf>
    <xf numFmtId="0" fontId="43" fillId="0" borderId="6" xfId="0" applyFont="1" applyFill="1" applyBorder="1" applyAlignment="1" applyProtection="1">
      <alignment horizontal="left" vertical="center"/>
    </xf>
    <xf numFmtId="172" fontId="43" fillId="0" borderId="10" xfId="1" applyNumberFormat="1" applyFont="1" applyFill="1" applyBorder="1" applyAlignment="1" applyProtection="1">
      <alignment vertical="center"/>
    </xf>
    <xf numFmtId="172" fontId="43" fillId="24" borderId="15" xfId="1" applyNumberFormat="1" applyFont="1" applyFill="1" applyBorder="1" applyAlignment="1" applyProtection="1">
      <alignment horizontal="center" vertical="center"/>
    </xf>
    <xf numFmtId="172" fontId="43" fillId="23" borderId="11" xfId="1" applyNumberFormat="1" applyFont="1" applyFill="1" applyBorder="1" applyAlignment="1" applyProtection="1">
      <alignment vertical="center"/>
    </xf>
    <xf numFmtId="172" fontId="47" fillId="7" borderId="35" xfId="1" applyNumberFormat="1" applyFont="1" applyFill="1" applyBorder="1" applyAlignment="1" applyProtection="1">
      <alignment vertical="center"/>
    </xf>
    <xf numFmtId="172" fontId="47" fillId="7" borderId="59" xfId="1" applyNumberFormat="1" applyFont="1" applyFill="1" applyBorder="1" applyAlignment="1" applyProtection="1">
      <alignment vertical="center"/>
    </xf>
    <xf numFmtId="0" fontId="43" fillId="0" borderId="13" xfId="0" applyFont="1" applyFill="1" applyBorder="1" applyAlignment="1" applyProtection="1">
      <alignment horizontal="left" vertical="center"/>
    </xf>
    <xf numFmtId="0" fontId="37" fillId="20" borderId="11" xfId="0" applyFont="1" applyFill="1" applyBorder="1" applyAlignment="1" applyProtection="1">
      <alignment vertical="center"/>
    </xf>
    <xf numFmtId="0" fontId="43" fillId="24" borderId="25" xfId="0" applyFont="1" applyFill="1" applyBorder="1" applyAlignment="1" applyProtection="1">
      <alignment horizontal="left" vertical="center"/>
    </xf>
    <xf numFmtId="172" fontId="43" fillId="24" borderId="16" xfId="1" applyNumberFormat="1" applyFont="1" applyFill="1" applyBorder="1" applyAlignment="1" applyProtection="1">
      <alignment horizontal="center" vertical="center"/>
    </xf>
    <xf numFmtId="172" fontId="43" fillId="24" borderId="11" xfId="1" applyNumberFormat="1" applyFont="1" applyFill="1" applyBorder="1" applyAlignment="1" applyProtection="1">
      <alignment horizontal="center" vertical="center"/>
    </xf>
    <xf numFmtId="172" fontId="42" fillId="7" borderId="35" xfId="1" applyNumberFormat="1" applyFont="1" applyFill="1" applyBorder="1" applyProtection="1"/>
    <xf numFmtId="172" fontId="42" fillId="7" borderId="59" xfId="1" applyNumberFormat="1" applyFont="1" applyFill="1" applyBorder="1" applyProtection="1"/>
    <xf numFmtId="0" fontId="43" fillId="0" borderId="11" xfId="0" applyFont="1" applyFill="1" applyBorder="1" applyAlignment="1" applyProtection="1">
      <alignment horizontal="left" vertical="center"/>
    </xf>
    <xf numFmtId="172" fontId="43" fillId="0" borderId="16" xfId="1" applyNumberFormat="1" applyFont="1" applyFill="1" applyBorder="1" applyAlignment="1" applyProtection="1">
      <alignment vertical="center"/>
    </xf>
    <xf numFmtId="172" fontId="43" fillId="0" borderId="11" xfId="1" applyNumberFormat="1" applyFont="1" applyFill="1" applyBorder="1" applyAlignment="1" applyProtection="1">
      <alignment vertical="center"/>
    </xf>
    <xf numFmtId="172" fontId="42" fillId="7" borderId="16" xfId="1" applyNumberFormat="1" applyFont="1" applyFill="1" applyBorder="1" applyProtection="1"/>
    <xf numFmtId="0" fontId="43" fillId="24" borderId="35" xfId="0" applyFont="1" applyFill="1" applyBorder="1" applyAlignment="1" applyProtection="1">
      <alignment horizontal="left" vertical="center"/>
    </xf>
    <xf numFmtId="172" fontId="42" fillId="7" borderId="11" xfId="0" applyNumberFormat="1" applyFont="1" applyFill="1" applyBorder="1" applyAlignment="1" applyProtection="1">
      <alignment vertical="center"/>
    </xf>
    <xf numFmtId="0" fontId="43" fillId="24" borderId="53" xfId="0" applyFont="1" applyFill="1" applyBorder="1" applyAlignment="1" applyProtection="1">
      <alignment horizontal="left" vertical="center"/>
    </xf>
    <xf numFmtId="172" fontId="43" fillId="0" borderId="55" xfId="1" applyNumberFormat="1" applyFont="1" applyFill="1" applyBorder="1" applyAlignment="1" applyProtection="1">
      <alignment vertical="center"/>
    </xf>
    <xf numFmtId="0" fontId="43" fillId="25" borderId="8" xfId="0" applyFont="1" applyFill="1" applyBorder="1" applyAlignment="1" applyProtection="1">
      <alignment horizontal="left" vertical="center"/>
    </xf>
    <xf numFmtId="172" fontId="43" fillId="25" borderId="1" xfId="1" applyNumberFormat="1" applyFont="1" applyFill="1" applyBorder="1" applyAlignment="1" applyProtection="1">
      <alignment horizontal="center" vertical="center"/>
    </xf>
    <xf numFmtId="172" fontId="43" fillId="24" borderId="50" xfId="1" applyNumberFormat="1" applyFont="1" applyFill="1" applyBorder="1" applyAlignment="1" applyProtection="1">
      <alignment horizontal="left" vertical="center"/>
    </xf>
    <xf numFmtId="0" fontId="43" fillId="0" borderId="5" xfId="0" applyFont="1" applyFill="1" applyBorder="1" applyAlignment="1" applyProtection="1">
      <alignment horizontal="left" vertical="center"/>
    </xf>
    <xf numFmtId="172" fontId="42" fillId="28" borderId="2" xfId="1" applyNumberFormat="1" applyFont="1" applyFill="1" applyBorder="1" applyAlignment="1" applyProtection="1">
      <alignment horizontal="center" vertical="center"/>
    </xf>
    <xf numFmtId="172" fontId="43" fillId="0" borderId="61" xfId="1" applyNumberFormat="1" applyFont="1" applyFill="1" applyBorder="1" applyAlignment="1" applyProtection="1">
      <alignment vertical="center"/>
    </xf>
    <xf numFmtId="0" fontId="40"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172" fontId="40" fillId="16" borderId="36" xfId="1" applyNumberFormat="1" applyFont="1" applyFill="1" applyBorder="1" applyAlignment="1" applyProtection="1">
      <alignment vertical="center"/>
    </xf>
    <xf numFmtId="165" fontId="42" fillId="0" borderId="0" xfId="0" applyNumberFormat="1" applyFont="1" applyFill="1" applyBorder="1" applyAlignment="1" applyProtection="1">
      <alignment vertical="center"/>
    </xf>
    <xf numFmtId="43" fontId="40" fillId="16" borderId="36" xfId="1" applyFont="1" applyFill="1" applyBorder="1" applyAlignment="1" applyProtection="1">
      <alignment vertical="center"/>
    </xf>
    <xf numFmtId="172" fontId="40" fillId="16" borderId="44" xfId="1" applyNumberFormat="1" applyFont="1" applyFill="1" applyBorder="1" applyAlignment="1" applyProtection="1">
      <alignment vertical="center"/>
    </xf>
    <xf numFmtId="10" fontId="53" fillId="34" borderId="0" xfId="2" applyNumberFormat="1" applyFont="1" applyFill="1" applyBorder="1" applyAlignment="1" applyProtection="1">
      <alignment vertical="center"/>
    </xf>
    <xf numFmtId="172" fontId="43" fillId="0" borderId="0" xfId="1" applyNumberFormat="1" applyFont="1" applyFill="1" applyBorder="1" applyAlignment="1" applyProtection="1">
      <alignment horizontal="center" vertical="center"/>
      <protection locked="0"/>
    </xf>
    <xf numFmtId="172" fontId="39" fillId="0" borderId="0" xfId="1" applyNumberFormat="1" applyFont="1" applyFill="1" applyBorder="1" applyAlignment="1" applyProtection="1">
      <alignment horizontal="center" vertical="center" wrapText="1"/>
      <protection locked="0"/>
    </xf>
    <xf numFmtId="171" fontId="4" fillId="0" borderId="0" xfId="4" applyNumberFormat="1" applyFont="1" applyFill="1" applyBorder="1" applyAlignment="1" applyProtection="1">
      <alignment vertical="center"/>
      <protection locked="0"/>
    </xf>
    <xf numFmtId="171" fontId="16" fillId="0" borderId="0" xfId="4" applyNumberFormat="1" applyFont="1" applyFill="1" applyBorder="1" applyAlignment="1" applyProtection="1">
      <alignment vertical="center"/>
      <protection locked="0"/>
    </xf>
    <xf numFmtId="171" fontId="3" fillId="0" borderId="0" xfId="4" applyNumberFormat="1" applyFont="1" applyFill="1" applyBorder="1" applyAlignment="1" applyProtection="1">
      <alignment vertical="center"/>
      <protection locked="0"/>
    </xf>
    <xf numFmtId="172" fontId="39" fillId="0" borderId="0" xfId="1" applyNumberFormat="1" applyFont="1" applyFill="1" applyBorder="1" applyAlignment="1" applyProtection="1">
      <alignment vertical="center"/>
      <protection locked="0"/>
    </xf>
    <xf numFmtId="168" fontId="39" fillId="0" borderId="0" xfId="4" applyNumberFormat="1" applyFont="1" applyFill="1" applyBorder="1" applyAlignment="1" applyProtection="1">
      <alignment vertical="center"/>
      <protection locked="0"/>
    </xf>
    <xf numFmtId="43" fontId="42" fillId="0" borderId="0" xfId="1" applyNumberFormat="1" applyFont="1" applyFill="1" applyBorder="1" applyAlignment="1" applyProtection="1">
      <alignment vertical="center"/>
      <protection locked="0"/>
    </xf>
    <xf numFmtId="0" fontId="43" fillId="0" borderId="0" xfId="0" applyFont="1" applyFill="1" applyBorder="1" applyAlignment="1" applyProtection="1">
      <alignment horizontal="left" vertical="center"/>
    </xf>
    <xf numFmtId="172" fontId="43" fillId="0" borderId="0" xfId="1" applyNumberFormat="1" applyFont="1" applyFill="1" applyBorder="1" applyAlignment="1" applyProtection="1">
      <alignment vertical="center"/>
    </xf>
    <xf numFmtId="43" fontId="42" fillId="16" borderId="0" xfId="1" applyFont="1" applyFill="1" applyBorder="1" applyAlignment="1" applyProtection="1">
      <alignment vertical="center"/>
      <protection locked="0"/>
    </xf>
    <xf numFmtId="43" fontId="42" fillId="0" borderId="12" xfId="1" applyFont="1" applyFill="1" applyBorder="1" applyAlignment="1" applyProtection="1">
      <alignment vertical="center"/>
      <protection locked="0"/>
    </xf>
    <xf numFmtId="0" fontId="42" fillId="0" borderId="33" xfId="0" applyFont="1" applyFill="1" applyBorder="1" applyAlignment="1" applyProtection="1">
      <alignment vertical="center"/>
      <protection locked="0"/>
    </xf>
    <xf numFmtId="0" fontId="42" fillId="5" borderId="0" xfId="0" applyFont="1" applyFill="1" applyBorder="1" applyProtection="1"/>
    <xf numFmtId="0" fontId="43" fillId="5" borderId="1" xfId="0" applyFont="1" applyFill="1" applyBorder="1" applyAlignment="1" applyProtection="1">
      <alignment horizontal="center" vertical="center" wrapText="1"/>
    </xf>
    <xf numFmtId="0" fontId="43" fillId="5" borderId="12" xfId="0" applyFont="1" applyFill="1" applyBorder="1" applyAlignment="1" applyProtection="1">
      <alignment horizontal="center" vertical="center" wrapText="1"/>
    </xf>
    <xf numFmtId="14" fontId="42" fillId="5" borderId="1" xfId="0" applyNumberFormat="1" applyFont="1" applyFill="1" applyBorder="1" applyProtection="1"/>
    <xf numFmtId="0" fontId="42" fillId="5" borderId="1" xfId="0" applyFont="1" applyFill="1" applyBorder="1" applyProtection="1"/>
    <xf numFmtId="0" fontId="42" fillId="5" borderId="12" xfId="0" applyFont="1" applyFill="1" applyBorder="1" applyProtection="1"/>
    <xf numFmtId="176" fontId="42" fillId="5" borderId="1" xfId="0" applyNumberFormat="1" applyFont="1" applyFill="1" applyBorder="1" applyAlignment="1" applyProtection="1">
      <alignment vertical="center"/>
    </xf>
    <xf numFmtId="175" fontId="42" fillId="7" borderId="1" xfId="0" applyNumberFormat="1" applyFont="1" applyFill="1" applyBorder="1" applyProtection="1"/>
    <xf numFmtId="175" fontId="42" fillId="5" borderId="1" xfId="0" applyNumberFormat="1" applyFont="1" applyFill="1" applyBorder="1" applyProtection="1"/>
    <xf numFmtId="177" fontId="42" fillId="5" borderId="1" xfId="0" applyNumberFormat="1" applyFont="1" applyFill="1" applyBorder="1" applyProtection="1"/>
    <xf numFmtId="0" fontId="42" fillId="5" borderId="70" xfId="0" applyFont="1" applyFill="1" applyBorder="1" applyProtection="1"/>
    <xf numFmtId="0" fontId="43" fillId="5" borderId="0" xfId="0" applyFont="1" applyFill="1" applyBorder="1" applyAlignment="1" applyProtection="1">
      <alignment horizontal="right"/>
    </xf>
    <xf numFmtId="175" fontId="42" fillId="5" borderId="0" xfId="0" applyNumberFormat="1" applyFont="1" applyFill="1" applyBorder="1" applyProtection="1"/>
    <xf numFmtId="174" fontId="42" fillId="5" borderId="0" xfId="0" applyNumberFormat="1" applyFont="1" applyFill="1" applyBorder="1" applyProtection="1"/>
    <xf numFmtId="172" fontId="6" fillId="10" borderId="32" xfId="1" applyNumberFormat="1" applyFont="1" applyFill="1" applyBorder="1" applyAlignment="1" applyProtection="1">
      <alignment horizontal="center" vertical="center"/>
      <protection locked="0"/>
    </xf>
    <xf numFmtId="172" fontId="8" fillId="10" borderId="32" xfId="1" applyNumberFormat="1" applyFont="1" applyFill="1" applyBorder="1" applyAlignment="1" applyProtection="1">
      <alignment horizontal="center" vertical="center"/>
      <protection locked="0"/>
    </xf>
    <xf numFmtId="172" fontId="14" fillId="10" borderId="1" xfId="1" applyNumberFormat="1" applyFont="1" applyFill="1" applyBorder="1" applyAlignment="1" applyProtection="1">
      <alignment horizontal="center" vertical="center"/>
      <protection locked="0"/>
    </xf>
    <xf numFmtId="172" fontId="12" fillId="10" borderId="1" xfId="1" applyNumberFormat="1" applyFont="1" applyFill="1" applyBorder="1" applyAlignment="1" applyProtection="1">
      <alignment horizontal="center" vertical="center"/>
      <protection locked="0"/>
    </xf>
    <xf numFmtId="172" fontId="14" fillId="10" borderId="7" xfId="1" applyNumberFormat="1" applyFont="1" applyFill="1" applyBorder="1" applyAlignment="1" applyProtection="1">
      <alignment horizontal="center" vertical="center"/>
      <protection locked="0"/>
    </xf>
    <xf numFmtId="172" fontId="9" fillId="10" borderId="7" xfId="1" applyNumberFormat="1" applyFont="1" applyFill="1" applyBorder="1" applyAlignment="1" applyProtection="1">
      <alignment horizontal="center" vertical="center"/>
      <protection locked="0"/>
    </xf>
    <xf numFmtId="172" fontId="16" fillId="10" borderId="7" xfId="1" applyNumberFormat="1" applyFont="1" applyFill="1" applyBorder="1" applyAlignment="1" applyProtection="1">
      <alignment horizontal="center" vertical="center"/>
      <protection locked="0"/>
    </xf>
    <xf numFmtId="0" fontId="0" fillId="0" borderId="0" xfId="0" applyBorder="1" applyProtection="1"/>
    <xf numFmtId="0" fontId="58" fillId="5" borderId="0" xfId="0" applyFont="1" applyFill="1" applyProtection="1"/>
    <xf numFmtId="0" fontId="0" fillId="5" borderId="0" xfId="0" applyFill="1" applyProtection="1"/>
    <xf numFmtId="0" fontId="0" fillId="0" borderId="0" xfId="0" applyProtection="1"/>
    <xf numFmtId="0" fontId="0" fillId="37" borderId="36" xfId="0" applyFill="1" applyBorder="1" applyProtection="1"/>
    <xf numFmtId="0" fontId="0" fillId="37" borderId="37" xfId="0" applyFill="1" applyBorder="1" applyProtection="1"/>
    <xf numFmtId="0" fontId="0" fillId="37" borderId="38" xfId="0" applyFill="1" applyBorder="1" applyProtection="1"/>
    <xf numFmtId="0" fontId="0" fillId="37" borderId="39" xfId="0" applyFill="1" applyBorder="1" applyProtection="1"/>
    <xf numFmtId="0" fontId="27" fillId="5" borderId="0" xfId="0" applyFont="1" applyFill="1" applyBorder="1" applyProtection="1"/>
    <xf numFmtId="0" fontId="0" fillId="37" borderId="40" xfId="0" applyFill="1" applyBorder="1" applyProtection="1"/>
    <xf numFmtId="0" fontId="0" fillId="5" borderId="0" xfId="0" applyFill="1" applyBorder="1" applyProtection="1"/>
    <xf numFmtId="0" fontId="59" fillId="5" borderId="0" xfId="0" applyFont="1" applyFill="1" applyBorder="1" applyProtection="1"/>
    <xf numFmtId="0" fontId="42" fillId="5" borderId="0" xfId="0" applyNumberFormat="1" applyFont="1" applyFill="1" applyBorder="1" applyAlignment="1" applyProtection="1">
      <alignment horizontal="left"/>
    </xf>
    <xf numFmtId="0" fontId="43" fillId="5" borderId="0" xfId="0" applyFont="1" applyFill="1" applyBorder="1" applyProtection="1"/>
    <xf numFmtId="0" fontId="43" fillId="5" borderId="1" xfId="0" applyFont="1" applyFill="1" applyBorder="1" applyAlignment="1" applyProtection="1">
      <alignment horizontal="center"/>
    </xf>
    <xf numFmtId="0" fontId="43" fillId="5" borderId="12" xfId="0" applyFont="1" applyFill="1" applyBorder="1" applyAlignment="1" applyProtection="1">
      <alignment horizontal="center"/>
    </xf>
    <xf numFmtId="0" fontId="43" fillId="5" borderId="0" xfId="0" applyFont="1" applyFill="1" applyBorder="1" applyAlignment="1" applyProtection="1">
      <alignment horizontal="center"/>
    </xf>
    <xf numFmtId="176" fontId="42" fillId="5" borderId="0" xfId="0" applyNumberFormat="1" applyFont="1" applyFill="1" applyBorder="1" applyAlignment="1" applyProtection="1">
      <alignment vertical="center"/>
    </xf>
    <xf numFmtId="175" fontId="0" fillId="5" borderId="0" xfId="0" applyNumberFormat="1" applyFill="1" applyBorder="1" applyProtection="1"/>
    <xf numFmtId="174" fontId="0" fillId="5" borderId="0" xfId="0" applyNumberFormat="1" applyFill="1" applyBorder="1" applyProtection="1"/>
    <xf numFmtId="0" fontId="37" fillId="36" borderId="12" xfId="0" applyFont="1" applyFill="1" applyBorder="1" applyAlignment="1" applyProtection="1">
      <alignment horizontal="right"/>
    </xf>
    <xf numFmtId="175" fontId="37" fillId="36" borderId="1" xfId="0" applyNumberFormat="1" applyFont="1" applyFill="1" applyBorder="1" applyProtection="1"/>
    <xf numFmtId="0" fontId="0" fillId="37" borderId="41" xfId="0" applyFill="1" applyBorder="1" applyProtection="1"/>
    <xf numFmtId="0" fontId="0" fillId="37" borderId="42" xfId="0" applyFill="1" applyBorder="1" applyProtection="1"/>
    <xf numFmtId="0" fontId="0" fillId="37" borderId="43" xfId="0" applyFill="1" applyBorder="1" applyProtection="1"/>
    <xf numFmtId="0" fontId="0" fillId="0" borderId="0" xfId="0" applyBorder="1" applyProtection="1">
      <protection locked="0"/>
    </xf>
    <xf numFmtId="0" fontId="0" fillId="5" borderId="0" xfId="0" applyFill="1" applyProtection="1">
      <protection locked="0"/>
    </xf>
    <xf numFmtId="0" fontId="0" fillId="0" borderId="0" xfId="0" applyProtection="1">
      <protection locked="0"/>
    </xf>
    <xf numFmtId="0" fontId="0" fillId="37" borderId="38" xfId="0" applyFill="1" applyBorder="1" applyProtection="1">
      <protection locked="0"/>
    </xf>
    <xf numFmtId="0" fontId="0" fillId="37" borderId="40" xfId="0" applyFill="1" applyBorder="1" applyProtection="1">
      <protection locked="0"/>
    </xf>
    <xf numFmtId="0" fontId="60" fillId="0" borderId="0" xfId="0" applyFont="1" applyProtection="1">
      <protection locked="0"/>
    </xf>
    <xf numFmtId="175" fontId="60" fillId="0" borderId="0" xfId="0" applyNumberFormat="1" applyFont="1" applyProtection="1">
      <protection locked="0"/>
    </xf>
    <xf numFmtId="0" fontId="17" fillId="0" borderId="0" xfId="0" applyFont="1" applyBorder="1" applyProtection="1">
      <protection locked="0"/>
    </xf>
    <xf numFmtId="0" fontId="17" fillId="0" borderId="0" xfId="0" applyFont="1" applyFill="1" applyBorder="1" applyProtection="1">
      <protection locked="0"/>
    </xf>
    <xf numFmtId="0" fontId="0" fillId="37" borderId="43" xfId="0" applyFill="1" applyBorder="1" applyProtection="1">
      <protection locked="0"/>
    </xf>
    <xf numFmtId="43" fontId="0" fillId="0" borderId="0" xfId="1" applyFont="1" applyProtection="1">
      <protection locked="0"/>
    </xf>
    <xf numFmtId="43" fontId="0" fillId="0" borderId="0" xfId="0" applyNumberFormat="1" applyBorder="1" applyProtection="1">
      <protection locked="0"/>
    </xf>
    <xf numFmtId="173" fontId="47" fillId="28" borderId="32" xfId="5" applyNumberFormat="1" applyFont="1" applyFill="1" applyBorder="1" applyAlignment="1" applyProtection="1">
      <alignment vertical="center"/>
      <protection locked="0"/>
    </xf>
    <xf numFmtId="0" fontId="17" fillId="0" borderId="0" xfId="0" applyFont="1" applyProtection="1">
      <protection locked="0"/>
    </xf>
    <xf numFmtId="172" fontId="43" fillId="5" borderId="12" xfId="1" applyNumberFormat="1" applyFont="1" applyFill="1" applyBorder="1" applyAlignment="1" applyProtection="1">
      <alignment horizontal="left" vertical="center"/>
    </xf>
    <xf numFmtId="172" fontId="43" fillId="5" borderId="33" xfId="1" applyNumberFormat="1" applyFont="1" applyFill="1" applyBorder="1" applyAlignment="1" applyProtection="1">
      <alignment horizontal="left" vertical="center"/>
    </xf>
    <xf numFmtId="178" fontId="42" fillId="28" borderId="70" xfId="1" applyNumberFormat="1" applyFont="1" applyFill="1" applyBorder="1" applyAlignment="1" applyProtection="1">
      <alignment vertical="center"/>
      <protection locked="0"/>
    </xf>
    <xf numFmtId="0" fontId="54" fillId="34" borderId="0" xfId="0" applyFont="1" applyFill="1" applyBorder="1" applyAlignment="1" applyProtection="1">
      <alignment horizontal="center" vertical="center"/>
    </xf>
    <xf numFmtId="169" fontId="42" fillId="39" borderId="1" xfId="0" applyNumberFormat="1" applyFont="1" applyFill="1" applyBorder="1" applyAlignment="1" applyProtection="1">
      <alignment vertical="center"/>
    </xf>
    <xf numFmtId="0" fontId="53" fillId="34" borderId="0" xfId="0" applyFont="1" applyFill="1" applyAlignment="1">
      <alignment vertical="center"/>
    </xf>
    <xf numFmtId="9" fontId="53" fillId="34" borderId="0" xfId="2" applyFont="1" applyFill="1" applyAlignment="1">
      <alignment vertical="center"/>
    </xf>
    <xf numFmtId="0" fontId="2" fillId="28" borderId="32" xfId="0" applyFont="1" applyFill="1" applyBorder="1" applyProtection="1">
      <protection locked="0"/>
    </xf>
    <xf numFmtId="0" fontId="2" fillId="28" borderId="1" xfId="0" applyFont="1" applyFill="1" applyBorder="1" applyProtection="1">
      <protection locked="0"/>
    </xf>
    <xf numFmtId="0" fontId="2" fillId="28" borderId="12" xfId="0" applyFont="1" applyFill="1" applyBorder="1" applyAlignment="1" applyProtection="1">
      <protection locked="0"/>
    </xf>
    <xf numFmtId="172" fontId="2" fillId="10" borderId="32" xfId="1" applyNumberFormat="1" applyFont="1" applyFill="1" applyBorder="1" applyAlignment="1" applyProtection="1">
      <alignment horizontal="center" vertical="center"/>
      <protection locked="0"/>
    </xf>
    <xf numFmtId="0" fontId="2" fillId="28" borderId="1" xfId="0" applyFont="1" applyFill="1" applyBorder="1" applyAlignment="1" applyProtection="1">
      <alignment horizontal="left"/>
      <protection locked="0"/>
    </xf>
    <xf numFmtId="0" fontId="1" fillId="28" borderId="12" xfId="0" applyFont="1" applyFill="1" applyBorder="1" applyAlignment="1" applyProtection="1">
      <protection locked="0"/>
    </xf>
    <xf numFmtId="0" fontId="1" fillId="28" borderId="1" xfId="0" applyFont="1" applyFill="1" applyBorder="1" applyAlignment="1" applyProtection="1">
      <alignment horizontal="left"/>
      <protection locked="0"/>
    </xf>
    <xf numFmtId="0" fontId="1" fillId="28" borderId="32" xfId="0" applyFont="1" applyFill="1" applyBorder="1" applyProtection="1">
      <protection locked="0"/>
    </xf>
    <xf numFmtId="1" fontId="20" fillId="10" borderId="12" xfId="2" applyNumberFormat="1" applyFont="1" applyFill="1" applyBorder="1" applyAlignment="1" applyProtection="1">
      <alignment horizontal="center"/>
    </xf>
    <xf numFmtId="1" fontId="23" fillId="10" borderId="33" xfId="2" applyNumberFormat="1" applyFont="1" applyFill="1" applyBorder="1" applyAlignment="1" applyProtection="1">
      <alignment horizontal="center"/>
    </xf>
    <xf numFmtId="1" fontId="20" fillId="3" borderId="12" xfId="2" applyNumberFormat="1" applyFont="1" applyFill="1" applyBorder="1" applyAlignment="1" applyProtection="1">
      <alignment horizontal="center"/>
    </xf>
    <xf numFmtId="1" fontId="20" fillId="3" borderId="33" xfId="2" applyNumberFormat="1" applyFont="1" applyFill="1" applyBorder="1" applyAlignment="1" applyProtection="1">
      <alignment horizontal="center"/>
    </xf>
    <xf numFmtId="0" fontId="57" fillId="10" borderId="0" xfId="0" applyFont="1" applyFill="1" applyBorder="1" applyAlignment="1" applyProtection="1">
      <alignment horizontal="center" vertical="center"/>
    </xf>
    <xf numFmtId="0" fontId="39" fillId="24" borderId="44" xfId="0" applyFont="1" applyFill="1" applyBorder="1" applyAlignment="1" applyProtection="1">
      <alignment horizontal="center" vertical="center"/>
    </xf>
    <xf numFmtId="0" fontId="42" fillId="24" borderId="59" xfId="0" applyFont="1" applyFill="1" applyBorder="1" applyAlignment="1" applyProtection="1">
      <alignment horizontal="center" vertical="center"/>
    </xf>
    <xf numFmtId="172" fontId="39" fillId="24" borderId="44" xfId="1" applyNumberFormat="1" applyFont="1" applyFill="1" applyBorder="1" applyAlignment="1" applyProtection="1">
      <alignment horizontal="center" vertical="center"/>
    </xf>
    <xf numFmtId="172" fontId="39" fillId="24" borderId="59" xfId="1" applyNumberFormat="1" applyFont="1" applyFill="1" applyBorder="1" applyAlignment="1" applyProtection="1">
      <alignment horizontal="center" vertical="center"/>
    </xf>
    <xf numFmtId="172" fontId="39" fillId="24" borderId="36" xfId="1" applyNumberFormat="1" applyFont="1" applyFill="1" applyBorder="1" applyAlignment="1" applyProtection="1">
      <alignment horizontal="center" vertical="center"/>
    </xf>
    <xf numFmtId="172" fontId="39" fillId="24" borderId="38" xfId="1" applyNumberFormat="1" applyFont="1" applyFill="1" applyBorder="1" applyAlignment="1" applyProtection="1">
      <alignment horizontal="center" vertical="center"/>
    </xf>
    <xf numFmtId="172" fontId="39" fillId="24" borderId="41" xfId="1" applyNumberFormat="1" applyFont="1" applyFill="1" applyBorder="1" applyAlignment="1" applyProtection="1">
      <alignment horizontal="center" vertical="center"/>
    </xf>
    <xf numFmtId="172" fontId="39" fillId="24" borderId="43" xfId="1" applyNumberFormat="1" applyFont="1" applyFill="1" applyBorder="1" applyAlignment="1" applyProtection="1">
      <alignment horizontal="center" vertical="center"/>
    </xf>
    <xf numFmtId="0" fontId="39" fillId="24" borderId="1" xfId="0" applyFont="1" applyFill="1" applyBorder="1" applyAlignment="1" applyProtection="1">
      <alignment horizontal="center" vertical="center" wrapText="1"/>
    </xf>
    <xf numFmtId="0" fontId="42" fillId="5" borderId="36" xfId="0" applyFont="1" applyFill="1" applyBorder="1" applyAlignment="1" applyProtection="1">
      <alignment horizontal="left" vertical="top" wrapText="1"/>
    </xf>
    <xf numFmtId="0" fontId="42" fillId="5" borderId="37" xfId="0" applyFont="1" applyFill="1" applyBorder="1" applyAlignment="1" applyProtection="1">
      <alignment horizontal="left" vertical="top"/>
    </xf>
    <xf numFmtId="0" fontId="42" fillId="5" borderId="38" xfId="0" applyFont="1" applyFill="1" applyBorder="1" applyAlignment="1" applyProtection="1">
      <alignment horizontal="left" vertical="top"/>
    </xf>
    <xf numFmtId="0" fontId="42" fillId="5" borderId="39" xfId="0" applyFont="1" applyFill="1" applyBorder="1" applyAlignment="1" applyProtection="1">
      <alignment horizontal="left" vertical="top"/>
    </xf>
    <xf numFmtId="0" fontId="42" fillId="5" borderId="0" xfId="0" applyFont="1" applyFill="1" applyBorder="1" applyAlignment="1" applyProtection="1">
      <alignment horizontal="left" vertical="top"/>
    </xf>
    <xf numFmtId="0" fontId="42" fillId="5" borderId="40" xfId="0" applyFont="1" applyFill="1" applyBorder="1" applyAlignment="1" applyProtection="1">
      <alignment horizontal="left" vertical="top"/>
    </xf>
    <xf numFmtId="0" fontId="42" fillId="5" borderId="41" xfId="0" applyFont="1" applyFill="1" applyBorder="1" applyAlignment="1" applyProtection="1">
      <alignment horizontal="left" vertical="top"/>
    </xf>
    <xf numFmtId="0" fontId="42" fillId="5" borderId="42" xfId="0" applyFont="1" applyFill="1" applyBorder="1" applyAlignment="1" applyProtection="1">
      <alignment horizontal="left" vertical="top"/>
    </xf>
    <xf numFmtId="0" fontId="42" fillId="5" borderId="43" xfId="0" applyFont="1" applyFill="1" applyBorder="1" applyAlignment="1" applyProtection="1">
      <alignment horizontal="left" vertical="top"/>
    </xf>
    <xf numFmtId="0" fontId="43" fillId="5" borderId="1" xfId="0" applyFont="1" applyFill="1" applyBorder="1" applyAlignment="1" applyProtection="1">
      <alignment horizontal="center" vertical="center"/>
    </xf>
    <xf numFmtId="172" fontId="42" fillId="20" borderId="16" xfId="1" applyNumberFormat="1" applyFont="1" applyFill="1" applyBorder="1" applyAlignment="1" applyProtection="1">
      <alignment horizontal="center" vertical="center"/>
    </xf>
    <xf numFmtId="172" fontId="42" fillId="20" borderId="15" xfId="1" applyNumberFormat="1" applyFont="1" applyFill="1" applyBorder="1" applyAlignment="1" applyProtection="1">
      <alignment horizontal="center" vertical="center"/>
    </xf>
    <xf numFmtId="172" fontId="42" fillId="20" borderId="17" xfId="1" applyNumberFormat="1" applyFont="1" applyFill="1" applyBorder="1" applyAlignment="1" applyProtection="1">
      <alignment horizontal="center" vertical="center"/>
    </xf>
    <xf numFmtId="172" fontId="42" fillId="0" borderId="44" xfId="1" applyNumberFormat="1" applyFont="1" applyFill="1" applyBorder="1" applyAlignment="1" applyProtection="1">
      <alignment horizontal="center" vertical="center" wrapText="1"/>
    </xf>
    <xf numFmtId="172" fontId="42" fillId="0" borderId="47" xfId="1" applyNumberFormat="1" applyFont="1" applyFill="1" applyBorder="1" applyAlignment="1" applyProtection="1">
      <alignment horizontal="center" vertical="center" wrapText="1"/>
    </xf>
    <xf numFmtId="172" fontId="42" fillId="0" borderId="59" xfId="1" applyNumberFormat="1" applyFont="1" applyFill="1" applyBorder="1" applyAlignment="1" applyProtection="1">
      <alignment horizontal="center" vertical="center" wrapText="1"/>
    </xf>
    <xf numFmtId="0" fontId="44" fillId="29" borderId="12" xfId="0" applyFont="1" applyFill="1" applyBorder="1" applyAlignment="1" applyProtection="1">
      <alignment horizontal="center" vertical="top"/>
    </xf>
    <xf numFmtId="0" fontId="44" fillId="29" borderId="54" xfId="0" applyFont="1" applyFill="1" applyBorder="1" applyAlignment="1" applyProtection="1">
      <alignment horizontal="center" vertical="top"/>
    </xf>
    <xf numFmtId="0" fontId="44" fillId="29" borderId="33" xfId="0" applyFont="1" applyFill="1" applyBorder="1" applyAlignment="1" applyProtection="1">
      <alignment horizontal="center" vertical="top"/>
    </xf>
    <xf numFmtId="0" fontId="44" fillId="24" borderId="16" xfId="0" applyFont="1" applyFill="1" applyBorder="1" applyAlignment="1" applyProtection="1">
      <alignment horizontal="center" vertical="center"/>
    </xf>
    <xf numFmtId="0" fontId="44" fillId="24" borderId="15" xfId="0" applyFont="1" applyFill="1" applyBorder="1" applyAlignment="1" applyProtection="1">
      <alignment horizontal="center" vertical="center"/>
    </xf>
    <xf numFmtId="0" fontId="44" fillId="24" borderId="17" xfId="0" applyFont="1" applyFill="1" applyBorder="1" applyAlignment="1" applyProtection="1">
      <alignment horizontal="center" vertical="center"/>
    </xf>
    <xf numFmtId="172" fontId="39" fillId="24" borderId="44" xfId="1" applyNumberFormat="1" applyFont="1" applyFill="1" applyBorder="1" applyAlignment="1" applyProtection="1">
      <alignment horizontal="center" vertical="center" wrapText="1"/>
    </xf>
    <xf numFmtId="172" fontId="39" fillId="24" borderId="59" xfId="1" applyNumberFormat="1" applyFont="1" applyFill="1" applyBorder="1" applyAlignment="1" applyProtection="1">
      <alignment horizontal="center" vertical="center" wrapText="1"/>
    </xf>
    <xf numFmtId="0" fontId="39" fillId="24" borderId="38" xfId="0" applyFont="1" applyFill="1" applyBorder="1" applyAlignment="1" applyProtection="1">
      <alignment horizontal="center" vertical="center"/>
    </xf>
    <xf numFmtId="0" fontId="39" fillId="24" borderId="43" xfId="0" applyFont="1" applyFill="1" applyBorder="1" applyAlignment="1" applyProtection="1">
      <alignment horizontal="center" vertical="center"/>
    </xf>
    <xf numFmtId="0" fontId="41" fillId="24" borderId="16" xfId="0" applyFont="1" applyFill="1" applyBorder="1" applyAlignment="1" applyProtection="1">
      <alignment horizontal="center" vertical="center"/>
    </xf>
    <xf numFmtId="0" fontId="41" fillId="24" borderId="15" xfId="0" applyFont="1" applyFill="1" applyBorder="1" applyAlignment="1" applyProtection="1">
      <alignment horizontal="center" vertical="center"/>
    </xf>
    <xf numFmtId="0" fontId="41" fillId="24" borderId="17" xfId="0" applyFont="1" applyFill="1" applyBorder="1" applyAlignment="1" applyProtection="1">
      <alignment horizontal="center" vertical="center"/>
    </xf>
    <xf numFmtId="0" fontId="41" fillId="29" borderId="12" xfId="0" applyFont="1" applyFill="1" applyBorder="1" applyAlignment="1" applyProtection="1">
      <alignment horizontal="center" vertical="top"/>
    </xf>
    <xf numFmtId="0" fontId="41" fillId="29" borderId="54" xfId="0" applyFont="1" applyFill="1" applyBorder="1" applyAlignment="1" applyProtection="1">
      <alignment horizontal="center" vertical="top"/>
    </xf>
    <xf numFmtId="0" fontId="41" fillId="29" borderId="33" xfId="0" applyFont="1" applyFill="1" applyBorder="1" applyAlignment="1" applyProtection="1">
      <alignment horizontal="center" vertical="top"/>
    </xf>
    <xf numFmtId="172" fontId="42" fillId="0" borderId="1" xfId="1" applyNumberFormat="1" applyFont="1" applyFill="1" applyBorder="1" applyAlignment="1" applyProtection="1">
      <alignment horizontal="left" vertical="center"/>
      <protection locked="0"/>
    </xf>
    <xf numFmtId="0" fontId="0" fillId="0" borderId="1" xfId="0" applyBorder="1" applyAlignment="1">
      <alignment horizontal="left" vertical="center"/>
    </xf>
    <xf numFmtId="172" fontId="42" fillId="0" borderId="0" xfId="1" applyNumberFormat="1" applyFont="1" applyFill="1" applyBorder="1" applyAlignment="1" applyProtection="1">
      <alignment vertical="center" wrapText="1"/>
      <protection locked="0"/>
    </xf>
    <xf numFmtId="172" fontId="42" fillId="0" borderId="38" xfId="1" applyNumberFormat="1" applyFont="1" applyFill="1" applyBorder="1" applyAlignment="1" applyProtection="1">
      <alignment horizontal="center" vertical="center" wrapText="1"/>
    </xf>
    <xf numFmtId="172" fontId="42" fillId="0" borderId="40" xfId="1" applyNumberFormat="1" applyFont="1" applyFill="1" applyBorder="1" applyAlignment="1" applyProtection="1">
      <alignment horizontal="center" vertical="center" wrapText="1"/>
    </xf>
    <xf numFmtId="172" fontId="42" fillId="0" borderId="43" xfId="1" applyNumberFormat="1" applyFont="1" applyFill="1" applyBorder="1" applyAlignment="1" applyProtection="1">
      <alignment horizontal="center" vertical="center" wrapText="1"/>
    </xf>
    <xf numFmtId="0" fontId="49" fillId="20" borderId="16" xfId="0" applyFont="1" applyFill="1" applyBorder="1" applyAlignment="1" applyProtection="1">
      <alignment horizontal="left" vertical="center"/>
    </xf>
    <xf numFmtId="0" fontId="49" fillId="20" borderId="15" xfId="0" applyFont="1" applyFill="1" applyBorder="1" applyAlignment="1" applyProtection="1">
      <alignment horizontal="left" vertical="center"/>
    </xf>
    <xf numFmtId="0" fontId="49" fillId="20" borderId="17" xfId="0" applyFont="1" applyFill="1" applyBorder="1" applyAlignment="1" applyProtection="1">
      <alignment horizontal="left" vertical="center"/>
    </xf>
    <xf numFmtId="0" fontId="37" fillId="20" borderId="16" xfId="0" applyFont="1" applyFill="1" applyBorder="1" applyAlignment="1" applyProtection="1">
      <alignment horizontal="center" vertical="center"/>
    </xf>
    <xf numFmtId="0" fontId="37" fillId="20" borderId="15" xfId="0" applyFont="1" applyFill="1" applyBorder="1" applyAlignment="1" applyProtection="1">
      <alignment horizontal="center" vertical="center"/>
    </xf>
    <xf numFmtId="0" fontId="37" fillId="20" borderId="17" xfId="0" applyFont="1" applyFill="1" applyBorder="1" applyAlignment="1" applyProtection="1">
      <alignment horizontal="center" vertical="center"/>
    </xf>
    <xf numFmtId="0" fontId="43" fillId="24" borderId="57" xfId="0" applyFont="1" applyFill="1" applyBorder="1" applyAlignment="1" applyProtection="1">
      <alignment horizontal="left" vertical="center"/>
    </xf>
    <xf numFmtId="0" fontId="43" fillId="24" borderId="63" xfId="0" applyFont="1" applyFill="1" applyBorder="1" applyAlignment="1" applyProtection="1">
      <alignment horizontal="left" vertical="center"/>
    </xf>
    <xf numFmtId="172" fontId="43" fillId="24" borderId="27" xfId="1" applyNumberFormat="1" applyFont="1" applyFill="1" applyBorder="1" applyAlignment="1" applyProtection="1">
      <alignment horizontal="left" vertical="center"/>
    </xf>
    <xf numFmtId="172" fontId="43" fillId="24" borderId="64" xfId="1" applyNumberFormat="1" applyFont="1" applyFill="1" applyBorder="1" applyAlignment="1" applyProtection="1">
      <alignment horizontal="left" vertical="center"/>
    </xf>
    <xf numFmtId="0" fontId="39" fillId="24" borderId="36" xfId="0" applyFont="1" applyFill="1" applyBorder="1" applyAlignment="1" applyProtection="1">
      <alignment horizontal="center" vertical="center"/>
    </xf>
    <xf numFmtId="0" fontId="39" fillId="24" borderId="41" xfId="0" applyFont="1" applyFill="1" applyBorder="1" applyAlignment="1" applyProtection="1">
      <alignment horizontal="center" vertical="center"/>
    </xf>
    <xf numFmtId="0" fontId="39" fillId="24" borderId="59" xfId="0" applyFont="1" applyFill="1" applyBorder="1" applyAlignment="1" applyProtection="1">
      <alignment horizontal="center" vertical="center"/>
    </xf>
    <xf numFmtId="0" fontId="54" fillId="34" borderId="37" xfId="0" applyFont="1" applyFill="1" applyBorder="1" applyAlignment="1" applyProtection="1">
      <alignment horizontal="center" vertical="center"/>
    </xf>
    <xf numFmtId="0" fontId="54" fillId="34" borderId="0" xfId="0" applyFont="1" applyFill="1" applyBorder="1" applyAlignment="1" applyProtection="1">
      <alignment horizontal="center" vertical="center"/>
    </xf>
    <xf numFmtId="0" fontId="42" fillId="28" borderId="12" xfId="0" applyFont="1" applyFill="1" applyBorder="1" applyAlignment="1" applyProtection="1">
      <alignment horizontal="center"/>
      <protection locked="0"/>
    </xf>
    <xf numFmtId="0" fontId="42" fillId="28" borderId="55" xfId="0" applyFont="1" applyFill="1" applyBorder="1" applyAlignment="1" applyProtection="1">
      <alignment horizontal="center"/>
      <protection locked="0"/>
    </xf>
    <xf numFmtId="0" fontId="43" fillId="26" borderId="16" xfId="0" applyFont="1" applyFill="1" applyBorder="1" applyAlignment="1" applyProtection="1">
      <alignment horizontal="center" vertical="center"/>
    </xf>
    <xf numFmtId="0" fontId="43" fillId="26" borderId="15" xfId="0" applyFont="1" applyFill="1" applyBorder="1" applyAlignment="1" applyProtection="1">
      <alignment horizontal="center" vertical="center"/>
    </xf>
    <xf numFmtId="0" fontId="43" fillId="26" borderId="17" xfId="0" applyFont="1" applyFill="1" applyBorder="1" applyAlignment="1" applyProtection="1">
      <alignment horizontal="center" vertical="center"/>
    </xf>
    <xf numFmtId="0" fontId="43" fillId="24" borderId="62" xfId="0" applyFont="1" applyFill="1" applyBorder="1" applyAlignment="1" applyProtection="1">
      <alignment horizontal="left" vertical="center"/>
    </xf>
    <xf numFmtId="0" fontId="43" fillId="24" borderId="58" xfId="0" applyFont="1" applyFill="1" applyBorder="1" applyAlignment="1" applyProtection="1">
      <alignment horizontal="left" vertical="center"/>
    </xf>
    <xf numFmtId="172" fontId="43" fillId="24" borderId="34" xfId="1" applyNumberFormat="1" applyFont="1" applyFill="1" applyBorder="1" applyAlignment="1" applyProtection="1">
      <alignment horizontal="left" vertical="center"/>
    </xf>
    <xf numFmtId="172" fontId="43" fillId="24" borderId="49" xfId="1" applyNumberFormat="1" applyFont="1" applyFill="1" applyBorder="1" applyAlignment="1" applyProtection="1">
      <alignment horizontal="left" vertical="center"/>
    </xf>
    <xf numFmtId="0" fontId="41" fillId="24" borderId="53" xfId="0" applyFont="1" applyFill="1" applyBorder="1" applyAlignment="1" applyProtection="1">
      <alignment horizontal="left" vertical="center"/>
    </xf>
    <xf numFmtId="0" fontId="41" fillId="24" borderId="54" xfId="0" applyFont="1" applyFill="1" applyBorder="1" applyAlignment="1" applyProtection="1">
      <alignment horizontal="left" vertical="center"/>
    </xf>
    <xf numFmtId="172" fontId="43" fillId="24" borderId="12" xfId="1" applyNumberFormat="1" applyFont="1" applyFill="1" applyBorder="1" applyAlignment="1" applyProtection="1">
      <alignment horizontal="left" vertical="center"/>
    </xf>
    <xf numFmtId="172" fontId="43" fillId="24" borderId="33" xfId="1" applyNumberFormat="1" applyFont="1" applyFill="1" applyBorder="1" applyAlignment="1" applyProtection="1">
      <alignment horizontal="left" vertical="center"/>
    </xf>
    <xf numFmtId="0" fontId="43" fillId="28" borderId="12" xfId="0" applyFont="1" applyFill="1" applyBorder="1" applyAlignment="1" applyProtection="1">
      <alignment horizontal="center"/>
      <protection locked="0"/>
    </xf>
    <xf numFmtId="0" fontId="43" fillId="28" borderId="55" xfId="0" applyFont="1" applyFill="1" applyBorder="1" applyAlignment="1" applyProtection="1">
      <alignment horizontal="center"/>
      <protection locked="0"/>
    </xf>
    <xf numFmtId="0" fontId="42" fillId="0" borderId="0" xfId="0" applyFont="1" applyFill="1" applyBorder="1" applyAlignment="1" applyProtection="1">
      <alignment horizontal="center" vertical="center"/>
    </xf>
    <xf numFmtId="0" fontId="39" fillId="7" borderId="10" xfId="0" applyFont="1" applyFill="1" applyBorder="1" applyAlignment="1" applyProtection="1">
      <alignment horizontal="right" vertical="center"/>
    </xf>
    <xf numFmtId="0" fontId="39" fillId="7" borderId="15" xfId="0" applyFont="1" applyFill="1" applyBorder="1" applyAlignment="1" applyProtection="1">
      <alignment horizontal="right" vertical="center"/>
    </xf>
    <xf numFmtId="0" fontId="39" fillId="7" borderId="17" xfId="0" applyFont="1" applyFill="1" applyBorder="1" applyAlignment="1" applyProtection="1">
      <alignment horizontal="right" vertical="center"/>
    </xf>
    <xf numFmtId="0" fontId="37" fillId="20" borderId="16" xfId="0" applyFont="1" applyFill="1" applyBorder="1" applyAlignment="1" applyProtection="1">
      <alignment horizontal="left" vertical="center"/>
    </xf>
    <xf numFmtId="0" fontId="37" fillId="20" borderId="15" xfId="0" applyFont="1" applyFill="1" applyBorder="1" applyAlignment="1" applyProtection="1">
      <alignment horizontal="left" vertical="center"/>
    </xf>
    <xf numFmtId="0" fontId="37" fillId="20" borderId="17" xfId="0" applyFont="1" applyFill="1" applyBorder="1" applyAlignment="1" applyProtection="1">
      <alignment horizontal="left" vertical="center"/>
    </xf>
    <xf numFmtId="0" fontId="37" fillId="20" borderId="3" xfId="0" applyFont="1" applyFill="1" applyBorder="1" applyAlignment="1" applyProtection="1">
      <alignment horizontal="left" vertical="center"/>
    </xf>
    <xf numFmtId="0" fontId="37" fillId="20" borderId="4" xfId="0" applyFont="1" applyFill="1" applyBorder="1" applyAlignment="1" applyProtection="1">
      <alignment horizontal="left" vertical="center"/>
    </xf>
    <xf numFmtId="0" fontId="37" fillId="20" borderId="66" xfId="0" applyFont="1" applyFill="1" applyBorder="1" applyAlignment="1" applyProtection="1">
      <alignment horizontal="left" vertical="center"/>
    </xf>
    <xf numFmtId="0" fontId="37" fillId="36" borderId="12" xfId="0" applyFont="1" applyFill="1" applyBorder="1" applyAlignment="1" applyProtection="1">
      <alignment horizontal="center"/>
    </xf>
    <xf numFmtId="0" fontId="37" fillId="36" borderId="33" xfId="0" applyFont="1" applyFill="1" applyBorder="1" applyAlignment="1" applyProtection="1">
      <alignment horizontal="center"/>
    </xf>
    <xf numFmtId="0" fontId="37" fillId="36" borderId="58" xfId="0" applyFont="1" applyFill="1" applyBorder="1" applyAlignment="1" applyProtection="1">
      <alignment horizontal="center"/>
    </xf>
    <xf numFmtId="0" fontId="61" fillId="38" borderId="12" xfId="0" applyFont="1" applyFill="1" applyBorder="1" applyAlignment="1" applyProtection="1">
      <alignment horizontal="center"/>
    </xf>
    <xf numFmtId="0" fontId="61" fillId="38" borderId="54" xfId="0" applyFont="1" applyFill="1" applyBorder="1" applyAlignment="1" applyProtection="1">
      <alignment horizontal="center"/>
    </xf>
    <xf numFmtId="0" fontId="61" fillId="38" borderId="33" xfId="0" applyFont="1" applyFill="1" applyBorder="1" applyAlignment="1" applyProtection="1">
      <alignment horizontal="center"/>
    </xf>
    <xf numFmtId="0" fontId="43" fillId="7" borderId="70" xfId="0" applyFont="1" applyFill="1" applyBorder="1" applyAlignment="1" applyProtection="1">
      <alignment horizontal="right"/>
    </xf>
    <xf numFmtId="0" fontId="43" fillId="7" borderId="71" xfId="0" applyFont="1" applyFill="1" applyBorder="1" applyAlignment="1" applyProtection="1">
      <alignment horizontal="right"/>
    </xf>
    <xf numFmtId="0" fontId="42" fillId="5" borderId="12" xfId="0" applyFont="1" applyFill="1" applyBorder="1" applyAlignment="1" applyProtection="1">
      <alignment horizontal="left"/>
    </xf>
    <xf numFmtId="0" fontId="42" fillId="5" borderId="33" xfId="0" applyFont="1" applyFill="1" applyBorder="1" applyAlignment="1" applyProtection="1">
      <alignment horizontal="left"/>
    </xf>
    <xf numFmtId="172" fontId="39" fillId="29" borderId="1" xfId="1" applyNumberFormat="1" applyFont="1" applyFill="1" applyBorder="1" applyAlignment="1" applyProtection="1">
      <alignment horizontal="center" vertical="center" wrapText="1"/>
    </xf>
    <xf numFmtId="0" fontId="37" fillId="20" borderId="16" xfId="0" applyFont="1" applyFill="1" applyBorder="1" applyAlignment="1" applyProtection="1">
      <alignment horizontal="left" vertical="center"/>
      <protection locked="0"/>
    </xf>
    <xf numFmtId="0" fontId="37" fillId="20" borderId="15" xfId="0" applyFont="1" applyFill="1" applyBorder="1" applyAlignment="1" applyProtection="1">
      <alignment horizontal="left" vertical="center"/>
      <protection locked="0"/>
    </xf>
    <xf numFmtId="0" fontId="37" fillId="20" borderId="17" xfId="0" applyFont="1" applyFill="1" applyBorder="1" applyAlignment="1" applyProtection="1">
      <alignment horizontal="left" vertical="center"/>
      <protection locked="0"/>
    </xf>
    <xf numFmtId="0" fontId="42" fillId="20" borderId="44" xfId="0" applyFont="1" applyFill="1" applyBorder="1" applyAlignment="1" applyProtection="1">
      <alignment horizontal="center" vertical="center"/>
      <protection locked="0"/>
    </xf>
    <xf numFmtId="0" fontId="42" fillId="20" borderId="47" xfId="0" applyFont="1" applyFill="1" applyBorder="1" applyAlignment="1" applyProtection="1">
      <alignment horizontal="center" vertical="center"/>
      <protection locked="0"/>
    </xf>
    <xf numFmtId="0" fontId="42" fillId="20" borderId="59" xfId="0" applyFont="1" applyFill="1" applyBorder="1" applyAlignment="1" applyProtection="1">
      <alignment horizontal="center" vertical="center"/>
      <protection locked="0"/>
    </xf>
    <xf numFmtId="0" fontId="42" fillId="5" borderId="36" xfId="0" applyFont="1" applyFill="1" applyBorder="1" applyAlignment="1" applyProtection="1">
      <alignment horizontal="left" vertical="top" wrapText="1"/>
      <protection locked="0"/>
    </xf>
    <xf numFmtId="0" fontId="42" fillId="5" borderId="37" xfId="0" applyFont="1" applyFill="1" applyBorder="1" applyAlignment="1" applyProtection="1">
      <alignment horizontal="left" vertical="top"/>
      <protection locked="0"/>
    </xf>
    <xf numFmtId="0" fontId="42" fillId="5" borderId="38" xfId="0" applyFont="1" applyFill="1" applyBorder="1" applyAlignment="1" applyProtection="1">
      <alignment horizontal="left" vertical="top"/>
      <protection locked="0"/>
    </xf>
    <xf numFmtId="0" fontId="42" fillId="5" borderId="39" xfId="0" applyFont="1" applyFill="1" applyBorder="1" applyAlignment="1" applyProtection="1">
      <alignment horizontal="left" vertical="top"/>
      <protection locked="0"/>
    </xf>
    <xf numFmtId="0" fontId="42" fillId="5" borderId="0" xfId="0" applyFont="1" applyFill="1" applyBorder="1" applyAlignment="1" applyProtection="1">
      <alignment horizontal="left" vertical="top"/>
      <protection locked="0"/>
    </xf>
    <xf numFmtId="0" fontId="42" fillId="5" borderId="40" xfId="0" applyFont="1" applyFill="1" applyBorder="1" applyAlignment="1" applyProtection="1">
      <alignment horizontal="left" vertical="top"/>
      <protection locked="0"/>
    </xf>
    <xf numFmtId="0" fontId="42" fillId="5" borderId="41" xfId="0" applyFont="1" applyFill="1" applyBorder="1" applyAlignment="1" applyProtection="1">
      <alignment horizontal="left" vertical="top"/>
      <protection locked="0"/>
    </xf>
    <xf numFmtId="0" fontId="42" fillId="5" borderId="42" xfId="0" applyFont="1" applyFill="1" applyBorder="1" applyAlignment="1" applyProtection="1">
      <alignment horizontal="left" vertical="top"/>
      <protection locked="0"/>
    </xf>
    <xf numFmtId="0" fontId="42" fillId="5" borderId="43" xfId="0" applyFont="1" applyFill="1" applyBorder="1" applyAlignment="1" applyProtection="1">
      <alignment horizontal="left" vertical="top"/>
      <protection locked="0"/>
    </xf>
    <xf numFmtId="172" fontId="39" fillId="24" borderId="1" xfId="1" applyNumberFormat="1" applyFont="1" applyFill="1" applyBorder="1" applyAlignment="1" applyProtection="1">
      <alignment horizontal="center" vertical="center" wrapText="1"/>
    </xf>
    <xf numFmtId="43" fontId="40" fillId="16" borderId="0" xfId="1" applyFont="1" applyFill="1" applyBorder="1" applyAlignment="1" applyProtection="1">
      <alignment horizontal="center" vertical="center"/>
      <protection locked="0"/>
    </xf>
    <xf numFmtId="172" fontId="13" fillId="28" borderId="1" xfId="1" applyNumberFormat="1" applyFont="1" applyFill="1" applyBorder="1" applyAlignment="1" applyProtection="1">
      <alignment horizontal="left"/>
      <protection locked="0"/>
    </xf>
    <xf numFmtId="172" fontId="16" fillId="28" borderId="2" xfId="1" applyNumberFormat="1" applyFont="1" applyFill="1" applyBorder="1" applyAlignment="1" applyProtection="1">
      <alignment horizontal="center" vertical="center"/>
      <protection locked="0"/>
    </xf>
    <xf numFmtId="0" fontId="39" fillId="7" borderId="22" xfId="0" applyFont="1" applyFill="1" applyBorder="1" applyAlignment="1" applyProtection="1">
      <alignment horizontal="right" vertical="center"/>
      <protection locked="0"/>
    </xf>
    <xf numFmtId="0" fontId="39" fillId="7" borderId="42" xfId="0" applyFont="1" applyFill="1" applyBorder="1" applyAlignment="1" applyProtection="1">
      <alignment horizontal="right" vertical="center"/>
      <protection locked="0"/>
    </xf>
    <xf numFmtId="0" fontId="39" fillId="7" borderId="43" xfId="0" applyFont="1" applyFill="1" applyBorder="1" applyAlignment="1" applyProtection="1">
      <alignment horizontal="right" vertical="center"/>
      <protection locked="0"/>
    </xf>
    <xf numFmtId="172" fontId="42" fillId="0" borderId="44" xfId="1" applyNumberFormat="1" applyFont="1" applyFill="1" applyBorder="1" applyAlignment="1" applyProtection="1">
      <alignment horizontal="center" vertical="center" wrapText="1"/>
      <protection locked="0"/>
    </xf>
    <xf numFmtId="172" fontId="42" fillId="0" borderId="47" xfId="1" applyNumberFormat="1" applyFont="1" applyFill="1" applyBorder="1" applyAlignment="1" applyProtection="1">
      <alignment horizontal="center" vertical="center" wrapText="1"/>
      <protection locked="0"/>
    </xf>
    <xf numFmtId="172" fontId="42" fillId="0" borderId="59" xfId="1" applyNumberFormat="1" applyFont="1" applyFill="1" applyBorder="1" applyAlignment="1" applyProtection="1">
      <alignment horizontal="center" vertical="center" wrapText="1"/>
      <protection locked="0"/>
    </xf>
    <xf numFmtId="0" fontId="41" fillId="24" borderId="16" xfId="0" applyFont="1" applyFill="1" applyBorder="1" applyAlignment="1" applyProtection="1">
      <alignment horizontal="center" vertical="center"/>
      <protection locked="0"/>
    </xf>
    <xf numFmtId="0" fontId="41" fillId="24" borderId="15" xfId="0" applyFont="1" applyFill="1" applyBorder="1" applyAlignment="1" applyProtection="1">
      <alignment horizontal="center" vertical="center"/>
      <protection locked="0"/>
    </xf>
    <xf numFmtId="0" fontId="41" fillId="24" borderId="17" xfId="0" applyFont="1" applyFill="1" applyBorder="1" applyAlignment="1" applyProtection="1">
      <alignment horizontal="center" vertical="center"/>
      <protection locked="0"/>
    </xf>
    <xf numFmtId="0" fontId="43" fillId="29" borderId="16" xfId="0" applyFont="1" applyFill="1" applyBorder="1" applyAlignment="1" applyProtection="1">
      <alignment horizontal="center" vertical="center"/>
      <protection locked="0"/>
    </xf>
    <xf numFmtId="0" fontId="43" fillId="29" borderId="15" xfId="0" applyFont="1" applyFill="1" applyBorder="1" applyAlignment="1" applyProtection="1">
      <alignment horizontal="center" vertical="center"/>
      <protection locked="0"/>
    </xf>
    <xf numFmtId="0" fontId="43" fillId="29" borderId="17" xfId="0" applyFont="1" applyFill="1" applyBorder="1" applyAlignment="1" applyProtection="1">
      <alignment horizontal="center" vertical="center"/>
      <protection locked="0"/>
    </xf>
    <xf numFmtId="0" fontId="43" fillId="29" borderId="38" xfId="0" applyFont="1" applyFill="1" applyBorder="1" applyAlignment="1" applyProtection="1">
      <alignment horizontal="center" vertical="center"/>
      <protection locked="0"/>
    </xf>
    <xf numFmtId="172" fontId="10" fillId="28" borderId="1" xfId="1" applyNumberFormat="1" applyFont="1" applyFill="1" applyBorder="1" applyAlignment="1" applyProtection="1">
      <alignment horizontal="left"/>
      <protection locked="0"/>
    </xf>
    <xf numFmtId="172" fontId="10" fillId="28" borderId="12" xfId="1" applyNumberFormat="1" applyFont="1" applyFill="1" applyBorder="1" applyAlignment="1" applyProtection="1">
      <alignment horizontal="left"/>
      <protection locked="0"/>
    </xf>
    <xf numFmtId="172" fontId="10" fillId="28" borderId="33" xfId="1" applyNumberFormat="1" applyFont="1" applyFill="1" applyBorder="1" applyAlignment="1" applyProtection="1">
      <alignment horizontal="left"/>
      <protection locked="0"/>
    </xf>
    <xf numFmtId="0" fontId="44" fillId="24" borderId="16" xfId="0" applyFont="1" applyFill="1" applyBorder="1" applyAlignment="1" applyProtection="1">
      <alignment horizontal="center" vertical="center"/>
      <protection locked="0"/>
    </xf>
    <xf numFmtId="0" fontId="44" fillId="24" borderId="15" xfId="0" applyFont="1" applyFill="1" applyBorder="1" applyAlignment="1" applyProtection="1">
      <alignment horizontal="center" vertical="center"/>
      <protection locked="0"/>
    </xf>
    <xf numFmtId="0" fontId="44" fillId="24" borderId="17" xfId="0" applyFont="1" applyFill="1" applyBorder="1" applyAlignment="1" applyProtection="1">
      <alignment horizontal="center" vertical="center"/>
      <protection locked="0"/>
    </xf>
    <xf numFmtId="0" fontId="43" fillId="30" borderId="0" xfId="0" applyFont="1" applyFill="1" applyBorder="1" applyAlignment="1" applyProtection="1">
      <alignment horizontal="center" vertical="center"/>
    </xf>
    <xf numFmtId="0" fontId="39" fillId="24" borderId="36" xfId="0" applyFont="1" applyFill="1" applyBorder="1" applyAlignment="1" applyProtection="1">
      <alignment horizontal="center" vertical="center"/>
      <protection locked="0"/>
    </xf>
    <xf numFmtId="0" fontId="39" fillId="24" borderId="39" xfId="0" applyFont="1" applyFill="1" applyBorder="1" applyAlignment="1" applyProtection="1">
      <alignment horizontal="center" vertical="center"/>
      <protection locked="0"/>
    </xf>
    <xf numFmtId="0" fontId="39" fillId="24" borderId="30" xfId="0" applyFont="1" applyFill="1" applyBorder="1" applyAlignment="1" applyProtection="1">
      <alignment horizontal="center" vertical="center"/>
      <protection locked="0"/>
    </xf>
    <xf numFmtId="0" fontId="39" fillId="24" borderId="13" xfId="0" applyFont="1" applyFill="1" applyBorder="1" applyAlignment="1" applyProtection="1">
      <alignment horizontal="center" vertical="center"/>
      <protection locked="0"/>
    </xf>
    <xf numFmtId="0" fontId="39" fillId="24" borderId="45" xfId="0" applyFont="1" applyFill="1" applyBorder="1" applyAlignment="1" applyProtection="1">
      <alignment horizontal="center" vertical="center"/>
      <protection locked="0"/>
    </xf>
    <xf numFmtId="0" fontId="42" fillId="24" borderId="22" xfId="0" applyFont="1" applyFill="1" applyBorder="1" applyAlignment="1" applyProtection="1">
      <alignment horizontal="center" vertical="center"/>
      <protection locked="0"/>
    </xf>
    <xf numFmtId="172" fontId="39" fillId="24" borderId="31" xfId="1" applyNumberFormat="1" applyFont="1" applyFill="1" applyBorder="1" applyAlignment="1" applyProtection="1">
      <alignment horizontal="center" vertical="center"/>
      <protection locked="0"/>
    </xf>
    <xf numFmtId="172" fontId="39" fillId="24" borderId="21" xfId="1" applyNumberFormat="1" applyFont="1" applyFill="1" applyBorder="1" applyAlignment="1" applyProtection="1">
      <alignment horizontal="center" vertical="center"/>
      <protection locked="0"/>
    </xf>
    <xf numFmtId="172" fontId="39" fillId="24" borderId="45" xfId="1" applyNumberFormat="1" applyFont="1" applyFill="1" applyBorder="1" applyAlignment="1" applyProtection="1">
      <alignment horizontal="center" vertical="center"/>
      <protection locked="0"/>
    </xf>
    <xf numFmtId="172" fontId="39" fillId="24" borderId="48" xfId="1" applyNumberFormat="1" applyFont="1" applyFill="1" applyBorder="1" applyAlignment="1" applyProtection="1">
      <alignment horizontal="center" vertical="center"/>
      <protection locked="0"/>
    </xf>
    <xf numFmtId="172" fontId="39" fillId="24" borderId="22" xfId="1" applyNumberFormat="1" applyFont="1" applyFill="1" applyBorder="1" applyAlignment="1" applyProtection="1">
      <alignment horizontal="center" vertical="center"/>
      <protection locked="0"/>
    </xf>
    <xf numFmtId="172" fontId="39" fillId="24" borderId="65" xfId="1" applyNumberFormat="1" applyFont="1" applyFill="1" applyBorder="1" applyAlignment="1" applyProtection="1">
      <alignment horizontal="center" vertical="center"/>
      <protection locked="0"/>
    </xf>
    <xf numFmtId="172" fontId="39" fillId="24" borderId="31" xfId="1" applyNumberFormat="1" applyFont="1" applyFill="1" applyBorder="1" applyAlignment="1" applyProtection="1">
      <alignment horizontal="center" vertical="center" wrapText="1"/>
      <protection locked="0"/>
    </xf>
    <xf numFmtId="172" fontId="39" fillId="24" borderId="21" xfId="1" applyNumberFormat="1" applyFont="1" applyFill="1" applyBorder="1" applyAlignment="1" applyProtection="1">
      <alignment horizontal="center" vertical="center" wrapText="1"/>
      <protection locked="0"/>
    </xf>
    <xf numFmtId="0" fontId="39" fillId="24" borderId="52" xfId="0" applyFont="1" applyFill="1" applyBorder="1" applyAlignment="1" applyProtection="1">
      <alignment horizontal="center" vertical="center"/>
      <protection locked="0"/>
    </xf>
    <xf numFmtId="0" fontId="39" fillId="24" borderId="67" xfId="0" applyFont="1" applyFill="1" applyBorder="1" applyAlignment="1" applyProtection="1">
      <alignment horizontal="center" vertical="center"/>
      <protection locked="0"/>
    </xf>
    <xf numFmtId="0" fontId="37" fillId="20" borderId="16" xfId="0" applyFont="1" applyFill="1" applyBorder="1" applyAlignment="1" applyProtection="1">
      <alignment horizontal="center" vertical="center"/>
      <protection locked="0"/>
    </xf>
    <xf numFmtId="0" fontId="37" fillId="20" borderId="15" xfId="0" applyFont="1" applyFill="1" applyBorder="1" applyAlignment="1" applyProtection="1">
      <alignment horizontal="center" vertical="center"/>
      <protection locked="0"/>
    </xf>
    <xf numFmtId="0" fontId="37" fillId="20" borderId="17" xfId="0" applyFont="1" applyFill="1" applyBorder="1" applyAlignment="1" applyProtection="1">
      <alignment horizontal="center" vertical="center"/>
      <protection locked="0"/>
    </xf>
    <xf numFmtId="0" fontId="43" fillId="29" borderId="1" xfId="0" applyFont="1" applyFill="1" applyBorder="1" applyAlignment="1" applyProtection="1">
      <alignment horizontal="center" vertical="center"/>
    </xf>
    <xf numFmtId="0" fontId="42" fillId="30" borderId="0" xfId="0" applyFont="1" applyFill="1" applyBorder="1" applyAlignment="1" applyProtection="1">
      <alignment horizontal="center" vertical="center"/>
    </xf>
    <xf numFmtId="0" fontId="43" fillId="24" borderId="57" xfId="0" applyFont="1" applyFill="1" applyBorder="1" applyAlignment="1" applyProtection="1">
      <alignment horizontal="center" vertical="center"/>
      <protection locked="0"/>
    </xf>
    <xf numFmtId="0" fontId="43" fillId="24" borderId="63" xfId="0" applyFont="1" applyFill="1" applyBorder="1" applyAlignment="1" applyProtection="1">
      <alignment horizontal="center" vertical="center"/>
      <protection locked="0"/>
    </xf>
    <xf numFmtId="172" fontId="43" fillId="24" borderId="27" xfId="1" applyNumberFormat="1" applyFont="1" applyFill="1" applyBorder="1" applyAlignment="1" applyProtection="1">
      <alignment horizontal="center" vertical="center"/>
      <protection locked="0"/>
    </xf>
    <xf numFmtId="172" fontId="43" fillId="24" borderId="64" xfId="1" applyNumberFormat="1" applyFont="1" applyFill="1" applyBorder="1" applyAlignment="1" applyProtection="1">
      <alignment horizontal="center" vertical="center"/>
      <protection locked="0"/>
    </xf>
    <xf numFmtId="0" fontId="41" fillId="24" borderId="1" xfId="0" applyFont="1" applyFill="1" applyBorder="1" applyAlignment="1" applyProtection="1">
      <alignment horizontal="center" vertical="center"/>
    </xf>
    <xf numFmtId="0" fontId="44" fillId="24" borderId="1" xfId="0" applyFont="1" applyFill="1" applyBorder="1" applyAlignment="1" applyProtection="1">
      <alignment horizontal="center" vertical="center"/>
    </xf>
    <xf numFmtId="0" fontId="52" fillId="0" borderId="16" xfId="0" applyFont="1" applyFill="1" applyBorder="1" applyAlignment="1" applyProtection="1">
      <alignment horizontal="center" vertical="center"/>
    </xf>
    <xf numFmtId="0" fontId="52" fillId="0" borderId="15" xfId="0" applyFont="1" applyFill="1" applyBorder="1" applyAlignment="1" applyProtection="1">
      <alignment horizontal="center" vertical="center"/>
    </xf>
    <xf numFmtId="0" fontId="52" fillId="0" borderId="17" xfId="0" applyFont="1" applyFill="1" applyBorder="1" applyAlignment="1" applyProtection="1">
      <alignment horizontal="center" vertical="center"/>
    </xf>
    <xf numFmtId="0" fontId="49" fillId="20" borderId="16" xfId="0" applyFont="1" applyFill="1" applyBorder="1" applyAlignment="1" applyProtection="1">
      <alignment horizontal="left" vertical="center"/>
      <protection locked="0"/>
    </xf>
    <xf numFmtId="0" fontId="49" fillId="20" borderId="15" xfId="0" applyFont="1" applyFill="1" applyBorder="1" applyAlignment="1" applyProtection="1">
      <alignment horizontal="left" vertical="center"/>
      <protection locked="0"/>
    </xf>
    <xf numFmtId="0" fontId="49" fillId="20" borderId="17" xfId="0" applyFont="1" applyFill="1" applyBorder="1" applyAlignment="1" applyProtection="1">
      <alignment horizontal="left" vertical="center"/>
      <protection locked="0"/>
    </xf>
    <xf numFmtId="0" fontId="43" fillId="26" borderId="16" xfId="0" applyFont="1" applyFill="1" applyBorder="1" applyAlignment="1" applyProtection="1">
      <alignment horizontal="center" vertical="center"/>
      <protection locked="0"/>
    </xf>
    <xf numFmtId="0" fontId="43" fillId="26" borderId="15" xfId="0" applyFont="1" applyFill="1" applyBorder="1" applyAlignment="1" applyProtection="1">
      <alignment horizontal="center" vertical="center"/>
      <protection locked="0"/>
    </xf>
    <xf numFmtId="0" fontId="43" fillId="26" borderId="17" xfId="0" applyFont="1" applyFill="1" applyBorder="1" applyAlignment="1" applyProtection="1">
      <alignment horizontal="center" vertical="center"/>
      <protection locked="0"/>
    </xf>
    <xf numFmtId="0" fontId="43" fillId="24" borderId="62" xfId="0" applyFont="1" applyFill="1" applyBorder="1" applyAlignment="1" applyProtection="1">
      <alignment horizontal="center" vertical="center"/>
      <protection locked="0"/>
    </xf>
    <xf numFmtId="0" fontId="43" fillId="24" borderId="58" xfId="0" applyFont="1" applyFill="1" applyBorder="1" applyAlignment="1" applyProtection="1">
      <alignment horizontal="center" vertical="center"/>
      <protection locked="0"/>
    </xf>
    <xf numFmtId="172" fontId="43" fillId="24" borderId="34" xfId="1" applyNumberFormat="1" applyFont="1" applyFill="1" applyBorder="1" applyAlignment="1" applyProtection="1">
      <alignment horizontal="center" vertical="center"/>
      <protection locked="0"/>
    </xf>
    <xf numFmtId="172" fontId="43" fillId="24" borderId="49" xfId="1" applyNumberFormat="1" applyFont="1" applyFill="1" applyBorder="1" applyAlignment="1" applyProtection="1">
      <alignment horizontal="center" vertical="center"/>
      <protection locked="0"/>
    </xf>
    <xf numFmtId="0" fontId="51" fillId="24" borderId="53" xfId="0" applyFont="1" applyFill="1" applyBorder="1" applyAlignment="1" applyProtection="1">
      <alignment horizontal="center" vertical="center"/>
      <protection locked="0"/>
    </xf>
    <xf numFmtId="0" fontId="51" fillId="24" borderId="54" xfId="0" applyFont="1" applyFill="1" applyBorder="1" applyAlignment="1" applyProtection="1">
      <alignment horizontal="center" vertical="center"/>
      <protection locked="0"/>
    </xf>
    <xf numFmtId="172" fontId="43" fillId="24" borderId="12" xfId="1" applyNumberFormat="1" applyFont="1" applyFill="1" applyBorder="1" applyAlignment="1" applyProtection="1">
      <alignment horizontal="center" vertical="center"/>
      <protection locked="0"/>
    </xf>
    <xf numFmtId="172" fontId="43" fillId="24" borderId="33" xfId="1" applyNumberFormat="1" applyFont="1" applyFill="1" applyBorder="1" applyAlignment="1" applyProtection="1">
      <alignment horizontal="center" vertical="center"/>
      <protection locked="0"/>
    </xf>
    <xf numFmtId="170" fontId="5" fillId="7" borderId="32" xfId="0" applyNumberFormat="1" applyFont="1" applyFill="1" applyBorder="1" applyProtection="1">
      <protection locked="0"/>
    </xf>
    <xf numFmtId="0" fontId="2" fillId="7" borderId="32" xfId="0" applyFont="1" applyFill="1" applyBorder="1" applyProtection="1">
      <protection locked="0"/>
    </xf>
    <xf numFmtId="0" fontId="7" fillId="7" borderId="32" xfId="0" applyFont="1" applyFill="1" applyBorder="1" applyProtection="1">
      <protection locked="0"/>
    </xf>
    <xf numFmtId="0" fontId="2" fillId="7" borderId="12" xfId="0" applyFont="1" applyFill="1" applyBorder="1" applyAlignment="1" applyProtection="1">
      <protection locked="0"/>
    </xf>
    <xf numFmtId="0" fontId="6" fillId="7" borderId="74" xfId="0" applyFont="1" applyFill="1" applyBorder="1" applyAlignment="1" applyProtection="1">
      <protection locked="0"/>
    </xf>
    <xf numFmtId="172" fontId="2" fillId="7" borderId="32" xfId="1"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left"/>
      <protection locked="0"/>
    </xf>
    <xf numFmtId="0" fontId="7" fillId="7" borderId="1" xfId="0" applyFont="1" applyFill="1" applyBorder="1" applyProtection="1">
      <protection locked="0"/>
    </xf>
    <xf numFmtId="0" fontId="6" fillId="7" borderId="33" xfId="0" applyFont="1" applyFill="1" applyBorder="1" applyAlignment="1" applyProtection="1">
      <protection locked="0"/>
    </xf>
    <xf numFmtId="0" fontId="42" fillId="7" borderId="1" xfId="0" applyFont="1" applyFill="1" applyBorder="1" applyProtection="1">
      <protection locked="0"/>
    </xf>
    <xf numFmtId="0" fontId="1" fillId="7" borderId="12" xfId="0" applyFont="1" applyFill="1" applyBorder="1" applyAlignment="1" applyProtection="1">
      <protection locked="0"/>
    </xf>
    <xf numFmtId="0" fontId="1" fillId="7" borderId="1" xfId="0" applyFont="1" applyFill="1" applyBorder="1" applyAlignment="1" applyProtection="1">
      <alignment horizontal="left"/>
      <protection locked="0"/>
    </xf>
    <xf numFmtId="0" fontId="1" fillId="7" borderId="32" xfId="0" applyFont="1" applyFill="1" applyBorder="1" applyProtection="1">
      <protection locked="0"/>
    </xf>
    <xf numFmtId="0" fontId="2" fillId="7" borderId="1" xfId="0" applyFont="1" applyFill="1" applyBorder="1" applyProtection="1">
      <protection locked="0"/>
    </xf>
    <xf numFmtId="0" fontId="6" fillId="7" borderId="12" xfId="0" applyFont="1" applyFill="1" applyBorder="1" applyAlignment="1" applyProtection="1">
      <protection locked="0"/>
    </xf>
    <xf numFmtId="172" fontId="6" fillId="7" borderId="32" xfId="1" applyNumberFormat="1" applyFont="1" applyFill="1" applyBorder="1" applyAlignment="1" applyProtection="1">
      <alignment horizontal="center" vertical="center"/>
      <protection locked="0"/>
    </xf>
    <xf numFmtId="0" fontId="7" fillId="7" borderId="1" xfId="0" applyFont="1" applyFill="1" applyBorder="1" applyAlignment="1" applyProtection="1">
      <alignment horizontal="left"/>
      <protection locked="0"/>
    </xf>
  </cellXfs>
  <cellStyles count="10">
    <cellStyle name="Comma" xfId="1" builtinId="3"/>
    <cellStyle name="Currency" xfId="4" builtinId="4"/>
    <cellStyle name="Currency 2" xfId="5"/>
    <cellStyle name="Followed Hyperlink" xfId="7" builtinId="9" hidden="1"/>
    <cellStyle name="Followed Hyperlink" xfId="9" builtinId="9" hidden="1"/>
    <cellStyle name="Hyperlink" xfId="6" builtinId="8" hidden="1"/>
    <cellStyle name="Hyperlink" xfId="8" builtinId="8" hidden="1"/>
    <cellStyle name="Normal" xfId="0" builtinId="0"/>
    <cellStyle name="Normal 2" xfId="3"/>
    <cellStyle name="Percent" xfId="2" builtinId="5"/>
  </cellStyles>
  <dxfs count="0"/>
  <tableStyles count="0" defaultTableStyle="TableStyleMedium9" defaultPivotStyle="PivotStyleLight16"/>
  <colors>
    <mruColors>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sz="2000"/>
              <a:t>COST ANALYSIS</a:t>
            </a:r>
          </a:p>
        </c:rich>
      </c:tx>
      <c:overlay val="0"/>
      <c:spPr>
        <a:noFill/>
        <a:ln>
          <a:noFill/>
        </a:ln>
        <a:effectLst/>
      </c:spPr>
      <c:txPr>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CEFC-4E2E-922E-70069EC16A51}"/>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CEFC-4E2E-922E-70069EC16A51}"/>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CEFC-4E2E-922E-70069EC16A51}"/>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CEFC-4E2E-922E-70069EC16A51}"/>
              </c:ext>
            </c:extLst>
          </c:dPt>
          <c:dPt>
            <c:idx val="4"/>
            <c:bubble3D val="0"/>
            <c:spPr>
              <a:solidFill>
                <a:srgbClr val="00B050"/>
              </a:solidFill>
              <a:ln>
                <a:solidFill>
                  <a:srgbClr val="00B05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15E2-438F-BAB2-EAACEA24A7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6r2="http://schemas.microsoft.com/office/drawing/2015/06/chart">
              <c:ext xmlns:c15="http://schemas.microsoft.com/office/drawing/2012/chart" uri="{CE6537A1-D6FC-4f65-9D91-7224C49458BB}"/>
            </c:extLst>
          </c:dLbls>
          <c:cat>
            <c:strRef>
              <c:f>'Cost Breakdown - FIT '!$T$7:$T$11</c:f>
              <c:strCache>
                <c:ptCount val="5"/>
                <c:pt idx="0">
                  <c:v>ACCOMMODATION</c:v>
                </c:pt>
                <c:pt idx="1">
                  <c:v>GROUND HANDLING</c:v>
                </c:pt>
                <c:pt idx="2">
                  <c:v>SITE VISITS AND EXPERIENCES </c:v>
                </c:pt>
                <c:pt idx="3">
                  <c:v>INTERNATIONAL FLIGHTS</c:v>
                </c:pt>
                <c:pt idx="4">
                  <c:v>OTHER STATUTORY CHARGES </c:v>
                </c:pt>
              </c:strCache>
            </c:strRef>
          </c:cat>
          <c:val>
            <c:numRef>
              <c:f>'Cost Breakdown - FIT '!$U$7:$U$11</c:f>
              <c:numCache>
                <c:formatCode>_([$$-409]* #,##0_);_([$$-409]* \(#,##0\);_([$$-409]* "-"??_);_(@_)</c:formatCode>
                <c:ptCount val="5"/>
                <c:pt idx="0">
                  <c:v>6877.067500000001</c:v>
                </c:pt>
                <c:pt idx="1">
                  <c:v>1176.9128787878788</c:v>
                </c:pt>
                <c:pt idx="2">
                  <c:v>415.8</c:v>
                </c:pt>
                <c:pt idx="3">
                  <c:v>0</c:v>
                </c:pt>
                <c:pt idx="4">
                  <c:v>-50.39034060606059</c:v>
                </c:pt>
              </c:numCache>
            </c:numRef>
          </c:val>
          <c:extLst xmlns:c16r2="http://schemas.microsoft.com/office/drawing/2015/06/chart">
            <c:ext xmlns:c16="http://schemas.microsoft.com/office/drawing/2014/chart" uri="{C3380CC4-5D6E-409C-BE32-E72D297353CC}">
              <c16:uniqueId val="{00000000-15E2-438F-BAB2-EAACEA24A75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sz="2000"/>
              <a:t>COST ANALYSIS</a:t>
            </a:r>
          </a:p>
        </c:rich>
      </c:tx>
      <c:overlay val="0"/>
      <c:spPr>
        <a:noFill/>
        <a:ln>
          <a:noFill/>
        </a:ln>
        <a:effectLst/>
      </c:spPr>
      <c:txPr>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5A22-474A-9CFC-8BBB2F80BC6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5A22-474A-9CFC-8BBB2F80BC6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5A22-474A-9CFC-8BBB2F80BC6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5A22-474A-9CFC-8BBB2F80BC6C}"/>
              </c:ext>
            </c:extLst>
          </c:dPt>
          <c:dPt>
            <c:idx val="4"/>
            <c:bubble3D val="0"/>
            <c:spPr>
              <a:solidFill>
                <a:srgbClr val="00B050"/>
              </a:solidFill>
              <a:ln>
                <a:solidFill>
                  <a:srgbClr val="00B05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5A22-474A-9CFC-8BBB2F80BC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6r2="http://schemas.microsoft.com/office/drawing/2015/06/chart">
              <c:ext xmlns:c15="http://schemas.microsoft.com/office/drawing/2012/chart" uri="{CE6537A1-D6FC-4f65-9D91-7224C49458BB}"/>
            </c:extLst>
          </c:dLbls>
          <c:cat>
            <c:strRef>
              <c:f>'Cost Breakdown - FIT '!$T$7:$T$11</c:f>
              <c:strCache>
                <c:ptCount val="5"/>
                <c:pt idx="0">
                  <c:v>ACCOMMODATION</c:v>
                </c:pt>
                <c:pt idx="1">
                  <c:v>GROUND HANDLING</c:v>
                </c:pt>
                <c:pt idx="2">
                  <c:v>SITE VISITS AND EXPERIENCES </c:v>
                </c:pt>
                <c:pt idx="3">
                  <c:v>INTERNATIONAL FLIGHTS</c:v>
                </c:pt>
                <c:pt idx="4">
                  <c:v>OTHER STATUTORY CHARGES </c:v>
                </c:pt>
              </c:strCache>
            </c:strRef>
          </c:cat>
          <c:val>
            <c:numRef>
              <c:f>'Cost Breakdown - FIT '!$U$7:$U$11</c:f>
              <c:numCache>
                <c:formatCode>_([$$-409]* #,##0_);_([$$-409]* \(#,##0\);_([$$-409]* "-"??_);_(@_)</c:formatCode>
                <c:ptCount val="5"/>
                <c:pt idx="0">
                  <c:v>6877.067500000001</c:v>
                </c:pt>
                <c:pt idx="1">
                  <c:v>1176.9128787878788</c:v>
                </c:pt>
                <c:pt idx="2">
                  <c:v>415.8</c:v>
                </c:pt>
                <c:pt idx="3">
                  <c:v>0</c:v>
                </c:pt>
                <c:pt idx="4">
                  <c:v>-50.39034060606059</c:v>
                </c:pt>
              </c:numCache>
            </c:numRef>
          </c:val>
          <c:extLst xmlns:c16r2="http://schemas.microsoft.com/office/drawing/2015/06/chart">
            <c:ext xmlns:c16="http://schemas.microsoft.com/office/drawing/2014/chart" uri="{C3380CC4-5D6E-409C-BE32-E72D297353CC}">
              <c16:uniqueId val="{0000000A-5A22-474A-9CFC-8BBB2F80BC6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Cost Breakdown </a:t>
            </a:r>
          </a:p>
        </c:rich>
      </c:tx>
      <c:layout>
        <c:manualLayout>
          <c:xMode val="edge"/>
          <c:yMode val="edge"/>
          <c:x val="0.23002242519885399"/>
          <c:y val="3.056484622736409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3.2905007681408999E-2"/>
          <c:y val="0.14962103256919401"/>
          <c:w val="0.56350974029205902"/>
          <c:h val="0.7877854867201220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0410-4256-9269-F4731EBF3E79}"/>
              </c:ext>
            </c:extLst>
          </c:dPt>
          <c:dPt>
            <c:idx val="1"/>
            <c:bubble3D val="0"/>
            <c:explosion val="1"/>
            <c:spPr>
              <a:solidFill>
                <a:schemeClr val="accent2"/>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0410-4256-9269-F4731EBF3E79}"/>
              </c:ext>
            </c:extLst>
          </c:dPt>
          <c:dPt>
            <c:idx val="2"/>
            <c:bubble3D val="0"/>
            <c:spPr>
              <a:solidFill>
                <a:schemeClr val="accent3"/>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0410-4256-9269-F4731EBF3E79}"/>
              </c:ext>
            </c:extLst>
          </c:dPt>
          <c:dPt>
            <c:idx val="3"/>
            <c:bubble3D val="0"/>
            <c:spPr>
              <a:solidFill>
                <a:schemeClr val="accent4"/>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7-0410-4256-9269-F4731EBF3E79}"/>
              </c:ext>
            </c:extLst>
          </c:dPt>
          <c:dPt>
            <c:idx val="4"/>
            <c:bubble3D val="0"/>
            <c:spPr>
              <a:solidFill>
                <a:schemeClr val="accent5"/>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9-0410-4256-9269-F4731EBF3E79}"/>
              </c:ext>
            </c:extLst>
          </c:dPt>
          <c:dPt>
            <c:idx val="5"/>
            <c:bubble3D val="0"/>
            <c:spPr>
              <a:solidFill>
                <a:schemeClr val="accent6"/>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B-0410-4256-9269-F4731EBF3E7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'TFG Quotation Template (2)'!$D$140:$D$145</c:f>
              <c:strCache>
                <c:ptCount val="6"/>
                <c:pt idx="0">
                  <c:v>ACCOMODATION INCLUSIVE OF VAT</c:v>
                </c:pt>
                <c:pt idx="1">
                  <c:v>ACCOMODATION EXCLUSIVE OF VAT</c:v>
                </c:pt>
                <c:pt idx="2">
                  <c:v>DOMESTIC TRANSPORATION AND GUIDING</c:v>
                </c:pt>
                <c:pt idx="3">
                  <c:v>EXPERIENCES</c:v>
                </c:pt>
                <c:pt idx="4">
                  <c:v>VALUE ADDITIONS</c:v>
                </c:pt>
                <c:pt idx="5">
                  <c:v>INTERNATIONAL AIR</c:v>
                </c:pt>
              </c:strCache>
            </c:strRef>
          </c:cat>
          <c:val>
            <c:numRef>
              <c:f>'TFG Quotation Template (2)'!$E$140:$E$145</c:f>
              <c:numCache>
                <c:formatCode>_-* #,##0_-;\-* #,##0_-;_-* "-"??_-;_-@_-</c:formatCode>
                <c:ptCount val="6"/>
                <c:pt idx="0">
                  <c:v>900</c:v>
                </c:pt>
                <c:pt idx="1">
                  <c:v>700</c:v>
                </c:pt>
                <c:pt idx="2">
                  <c:v>5400.1958041958042</c:v>
                </c:pt>
                <c:pt idx="3">
                  <c:v>375</c:v>
                </c:pt>
                <c:pt idx="4">
                  <c:v>0</c:v>
                </c:pt>
                <c:pt idx="5">
                  <c:v>0</c:v>
                </c:pt>
              </c:numCache>
            </c:numRef>
          </c:val>
          <c:extLst xmlns:c16r2="http://schemas.microsoft.com/office/drawing/2015/06/chart">
            <c:ext xmlns:c16="http://schemas.microsoft.com/office/drawing/2014/chart" uri="{C3380CC4-5D6E-409C-BE32-E72D297353CC}">
              <c16:uniqueId val="{0000000C-0410-4256-9269-F4731EBF3E7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0122067135494905"/>
          <c:y val="0.117849936711947"/>
          <c:w val="0.385162306151767"/>
          <c:h val="0.7355754393312630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95250</xdr:colOff>
      <xdr:row>176</xdr:row>
      <xdr:rowOff>66675</xdr:rowOff>
    </xdr:from>
    <xdr:to>
      <xdr:col>4</xdr:col>
      <xdr:colOff>533400</xdr:colOff>
      <xdr:row>197</xdr:row>
      <xdr:rowOff>104775</xdr:rowOff>
    </xdr:to>
    <xdr:sp macro="" textlink="">
      <xdr:nvSpPr>
        <xdr:cNvPr id="2" name="Rectangle 1">
          <a:extLst>
            <a:ext uri="{FF2B5EF4-FFF2-40B4-BE49-F238E27FC236}">
              <a16:creationId xmlns:a16="http://schemas.microsoft.com/office/drawing/2014/main" xmlns="" id="{00000000-0008-0000-0000-000002000000}"/>
            </a:ext>
          </a:extLst>
        </xdr:cNvPr>
        <xdr:cNvSpPr/>
      </xdr:nvSpPr>
      <xdr:spPr>
        <a:xfrm>
          <a:off x="200025" y="25298400"/>
          <a:ext cx="1866900" cy="220027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rPr>
            <a:t>No one is to make any</a:t>
          </a:r>
          <a:r>
            <a:rPr lang="en-US" sz="900" baseline="0">
              <a:solidFill>
                <a:sysClr val="windowText" lastClr="000000"/>
              </a:solidFill>
              <a:latin typeface="Arial" panose="020B0604020202020204" pitchFamily="34" charset="0"/>
              <a:cs typeface="Arial" panose="020B0604020202020204" pitchFamily="34" charset="0"/>
            </a:rPr>
            <a:t> changes to the titles or the prices of any of the  experiences without the consent and apprroval of the product department. </a:t>
          </a:r>
        </a:p>
        <a:p>
          <a:pPr algn="l"/>
          <a:endParaRPr lang="en-US" sz="900" baseline="0">
            <a:solidFill>
              <a:sysClr val="windowText" lastClr="000000"/>
            </a:solidFill>
            <a:latin typeface="Arial" panose="020B0604020202020204" pitchFamily="34" charset="0"/>
            <a:cs typeface="Arial" panose="020B0604020202020204" pitchFamily="34" charset="0"/>
          </a:endParaRPr>
        </a:p>
        <a:p>
          <a:pPr algn="l"/>
          <a:r>
            <a:rPr lang="en-US" sz="900" baseline="0">
              <a:solidFill>
                <a:sysClr val="windowText" lastClr="000000"/>
              </a:solidFill>
              <a:latin typeface="Arial" panose="020B0604020202020204" pitchFamily="34" charset="0"/>
              <a:cs typeface="Arial" panose="020B0604020202020204" pitchFamily="34" charset="0"/>
            </a:rPr>
            <a:t>All changed need to be in sync with Salesforce. </a:t>
          </a:r>
          <a:endParaRPr lang="en-US"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95250</xdr:colOff>
      <xdr:row>56</xdr:row>
      <xdr:rowOff>9524</xdr:rowOff>
    </xdr:from>
    <xdr:to>
      <xdr:col>4</xdr:col>
      <xdr:colOff>533400</xdr:colOff>
      <xdr:row>73</xdr:row>
      <xdr:rowOff>47624</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200025" y="7753349"/>
          <a:ext cx="1866900" cy="246697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latin typeface="Arial" panose="020B0604020202020204" pitchFamily="34" charset="0"/>
              <a:cs typeface="Arial" panose="020B0604020202020204" pitchFamily="34" charset="0"/>
            </a:rPr>
            <a:t>ENTRANCE FEES &amp; SITE GUIDES: </a:t>
          </a:r>
          <a:r>
            <a:rPr lang="en-US" sz="900" b="0">
              <a:solidFill>
                <a:sysClr val="windowText" lastClr="000000"/>
              </a:solidFill>
              <a:latin typeface="Arial" panose="020B0604020202020204" pitchFamily="34" charset="0"/>
              <a:cs typeface="Arial" panose="020B0604020202020204" pitchFamily="34" charset="0"/>
            </a:rPr>
            <a:t>The adjacent table contains entrance fees for excursions clients will do with their chauffer guides or national guides. The prices quoted are net</a:t>
          </a:r>
          <a:r>
            <a:rPr lang="en-US" sz="900" b="0" baseline="0">
              <a:solidFill>
                <a:sysClr val="windowText" lastClr="000000"/>
              </a:solidFill>
              <a:latin typeface="Arial" panose="020B0604020202020204" pitchFamily="34" charset="0"/>
              <a:cs typeface="Arial" panose="020B0604020202020204" pitchFamily="34" charset="0"/>
            </a:rPr>
            <a:t>. </a:t>
          </a:r>
          <a:endParaRPr lang="en-US" sz="900" b="0">
            <a:solidFill>
              <a:sysClr val="windowText" lastClr="000000"/>
            </a:solidFill>
            <a:latin typeface="Arial" panose="020B0604020202020204" pitchFamily="34" charset="0"/>
            <a:cs typeface="Arial" panose="020B0604020202020204" pitchFamily="34" charset="0"/>
          </a:endParaRPr>
        </a:p>
        <a:p>
          <a:pPr algn="l"/>
          <a:endParaRPr lang="en-US" sz="900">
            <a:solidFill>
              <a:sysClr val="windowText" lastClr="000000"/>
            </a:solidFill>
            <a:latin typeface="Arial" panose="020B0604020202020204" pitchFamily="34" charset="0"/>
            <a:cs typeface="Arial" panose="020B0604020202020204" pitchFamily="34" charset="0"/>
          </a:endParaRPr>
        </a:p>
        <a:p>
          <a:pPr algn="l"/>
          <a:r>
            <a:rPr lang="en-US" sz="900" b="1">
              <a:solidFill>
                <a:sysClr val="windowText" lastClr="000000"/>
              </a:solidFill>
              <a:latin typeface="Arial" panose="020B0604020202020204" pitchFamily="34" charset="0"/>
              <a:cs typeface="Arial" panose="020B0604020202020204" pitchFamily="34" charset="0"/>
            </a:rPr>
            <a:t>IMPORTANT</a:t>
          </a:r>
          <a:r>
            <a:rPr lang="en-US" sz="900" b="1" baseline="0">
              <a:solidFill>
                <a:sysClr val="windowText" lastClr="000000"/>
              </a:solidFill>
              <a:latin typeface="Arial" panose="020B0604020202020204" pitchFamily="34" charset="0"/>
              <a:cs typeface="Arial" panose="020B0604020202020204" pitchFamily="34" charset="0"/>
            </a:rPr>
            <a:t> NOTE</a:t>
          </a:r>
          <a:r>
            <a:rPr lang="en-US" sz="900" baseline="0">
              <a:solidFill>
                <a:sysClr val="windowText" lastClr="000000"/>
              </a:solidFill>
              <a:latin typeface="Arial" panose="020B0604020202020204" pitchFamily="34" charset="0"/>
              <a:cs typeface="Arial" panose="020B0604020202020204" pitchFamily="34" charset="0"/>
            </a:rPr>
            <a:t>: N</a:t>
          </a:r>
          <a:r>
            <a:rPr lang="en-US" sz="900">
              <a:solidFill>
                <a:sysClr val="windowText" lastClr="000000"/>
              </a:solidFill>
              <a:latin typeface="Arial" panose="020B0604020202020204" pitchFamily="34" charset="0"/>
              <a:cs typeface="Arial" panose="020B0604020202020204" pitchFamily="34" charset="0"/>
            </a:rPr>
            <a:t>o one is to make any</a:t>
          </a:r>
          <a:r>
            <a:rPr lang="en-US" sz="900" baseline="0">
              <a:solidFill>
                <a:sysClr val="windowText" lastClr="000000"/>
              </a:solidFill>
              <a:latin typeface="Arial" panose="020B0604020202020204" pitchFamily="34" charset="0"/>
              <a:cs typeface="Arial" panose="020B0604020202020204" pitchFamily="34" charset="0"/>
            </a:rPr>
            <a:t> changes to the titles or the prices of any of the  experiences without the consent and apprroval of the product department. </a:t>
          </a:r>
        </a:p>
        <a:p>
          <a:pPr algn="l"/>
          <a:endParaRPr lang="en-US" sz="900" baseline="0">
            <a:solidFill>
              <a:sysClr val="windowText" lastClr="000000"/>
            </a:solidFill>
            <a:latin typeface="Arial" panose="020B0604020202020204" pitchFamily="34" charset="0"/>
            <a:cs typeface="Arial" panose="020B0604020202020204" pitchFamily="34" charset="0"/>
          </a:endParaRPr>
        </a:p>
        <a:p>
          <a:pPr algn="l"/>
          <a:r>
            <a:rPr lang="en-US" sz="900" baseline="0">
              <a:solidFill>
                <a:sysClr val="windowText" lastClr="000000"/>
              </a:solidFill>
              <a:latin typeface="Arial" panose="020B0604020202020204" pitchFamily="34" charset="0"/>
              <a:cs typeface="Arial" panose="020B0604020202020204" pitchFamily="34" charset="0"/>
            </a:rPr>
            <a:t>All changed need to be in sync with Salesforce. </a:t>
          </a:r>
          <a:endParaRPr lang="en-US"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114300</xdr:colOff>
      <xdr:row>40</xdr:row>
      <xdr:rowOff>133349</xdr:rowOff>
    </xdr:from>
    <xdr:to>
      <xdr:col>4</xdr:col>
      <xdr:colOff>552450</xdr:colOff>
      <xdr:row>52</xdr:row>
      <xdr:rowOff>104775</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219075" y="6124574"/>
          <a:ext cx="1866900" cy="1695451"/>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latin typeface="Arial" panose="020B0604020202020204" pitchFamily="34" charset="0"/>
              <a:cs typeface="Arial" panose="020B0604020202020204" pitchFamily="34" charset="0"/>
            </a:rPr>
            <a:t>ENTRANCE FEES &amp; SITE GUIDES: </a:t>
          </a:r>
          <a:r>
            <a:rPr lang="en-US" sz="900" b="0">
              <a:solidFill>
                <a:sysClr val="windowText" lastClr="000000"/>
              </a:solidFill>
              <a:latin typeface="Arial" panose="020B0604020202020204" pitchFamily="34" charset="0"/>
              <a:cs typeface="Arial" panose="020B0604020202020204" pitchFamily="34" charset="0"/>
            </a:rPr>
            <a:t>The adjacent table contains entrance fees for excursions clients will do with their chauffer guides or national guides. The prices quoted are net</a:t>
          </a:r>
          <a:r>
            <a:rPr lang="en-US" sz="900" b="0" baseline="0">
              <a:solidFill>
                <a:sysClr val="windowText" lastClr="000000"/>
              </a:solidFill>
              <a:latin typeface="Arial" panose="020B0604020202020204" pitchFamily="34" charset="0"/>
              <a:cs typeface="Arial" panose="020B0604020202020204" pitchFamily="34" charset="0"/>
            </a:rPr>
            <a:t>. </a:t>
          </a:r>
          <a:endParaRPr lang="en-US" sz="900" b="0">
            <a:solidFill>
              <a:sysClr val="windowText" lastClr="000000"/>
            </a:solidFill>
            <a:latin typeface="Arial" panose="020B0604020202020204" pitchFamily="34" charset="0"/>
            <a:cs typeface="Arial" panose="020B0604020202020204" pitchFamily="34" charset="0"/>
          </a:endParaRPr>
        </a:p>
        <a:p>
          <a:pPr algn="l"/>
          <a:endParaRPr lang="en-US" sz="900">
            <a:solidFill>
              <a:sysClr val="windowText" lastClr="000000"/>
            </a:solidFill>
            <a:latin typeface="Arial" panose="020B0604020202020204" pitchFamily="34" charset="0"/>
            <a:cs typeface="Arial" panose="020B0604020202020204" pitchFamily="34" charset="0"/>
          </a:endParaRPr>
        </a:p>
        <a:p>
          <a:pPr algn="l"/>
          <a:r>
            <a:rPr lang="en-US" sz="900" b="1">
              <a:solidFill>
                <a:sysClr val="windowText" lastClr="000000"/>
              </a:solidFill>
              <a:latin typeface="Arial" panose="020B0604020202020204" pitchFamily="34" charset="0"/>
              <a:cs typeface="Arial" panose="020B0604020202020204" pitchFamily="34" charset="0"/>
            </a:rPr>
            <a:t>IMPORTANT</a:t>
          </a:r>
          <a:r>
            <a:rPr lang="en-US" sz="900" b="1" baseline="0">
              <a:solidFill>
                <a:sysClr val="windowText" lastClr="000000"/>
              </a:solidFill>
              <a:latin typeface="Arial" panose="020B0604020202020204" pitchFamily="34" charset="0"/>
              <a:cs typeface="Arial" panose="020B0604020202020204" pitchFamily="34" charset="0"/>
            </a:rPr>
            <a:t> NOTE</a:t>
          </a:r>
          <a:r>
            <a:rPr lang="en-US" sz="900" baseline="0">
              <a:solidFill>
                <a:sysClr val="windowText" lastClr="000000"/>
              </a:solidFill>
              <a:latin typeface="Arial" panose="020B0604020202020204" pitchFamily="34" charset="0"/>
              <a:cs typeface="Arial" panose="020B0604020202020204" pitchFamily="34" charset="0"/>
            </a:rPr>
            <a:t>: N</a:t>
          </a:r>
          <a:r>
            <a:rPr lang="en-US" sz="900">
              <a:solidFill>
                <a:sysClr val="windowText" lastClr="000000"/>
              </a:solidFill>
              <a:latin typeface="Arial" panose="020B0604020202020204" pitchFamily="34" charset="0"/>
              <a:cs typeface="Arial" panose="020B0604020202020204" pitchFamily="34" charset="0"/>
            </a:rPr>
            <a:t>o one is to make any</a:t>
          </a:r>
          <a:r>
            <a:rPr lang="en-US" sz="900" baseline="0">
              <a:solidFill>
                <a:sysClr val="windowText" lastClr="000000"/>
              </a:solidFill>
              <a:latin typeface="Arial" panose="020B0604020202020204" pitchFamily="34" charset="0"/>
              <a:cs typeface="Arial" panose="020B0604020202020204" pitchFamily="34" charset="0"/>
            </a:rPr>
            <a:t> changes to the titles or the prices of any of the  experiences without the consent and apprroval of the product department. </a:t>
          </a:r>
        </a:p>
        <a:p>
          <a:pPr algn="l"/>
          <a:endParaRPr lang="en-US" sz="900" baseline="0">
            <a:solidFill>
              <a:sysClr val="windowText" lastClr="000000"/>
            </a:solidFill>
            <a:latin typeface="Arial" panose="020B0604020202020204" pitchFamily="34" charset="0"/>
            <a:cs typeface="Arial" panose="020B0604020202020204" pitchFamily="34" charset="0"/>
          </a:endParaRPr>
        </a:p>
        <a:p>
          <a:pPr algn="l"/>
          <a:r>
            <a:rPr lang="en-US" sz="900" baseline="0">
              <a:solidFill>
                <a:sysClr val="windowText" lastClr="000000"/>
              </a:solidFill>
              <a:latin typeface="Arial" panose="020B0604020202020204" pitchFamily="34" charset="0"/>
              <a:cs typeface="Arial" panose="020B0604020202020204" pitchFamily="34" charset="0"/>
            </a:rPr>
            <a:t>All changed need to be in sync with Salesforce. </a:t>
          </a:r>
          <a:endParaRPr lang="en-US" sz="9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775608</xdr:colOff>
      <xdr:row>67</xdr:row>
      <xdr:rowOff>27215</xdr:rowOff>
    </xdr:from>
    <xdr:to>
      <xdr:col>13</xdr:col>
      <xdr:colOff>163286</xdr:colOff>
      <xdr:row>78</xdr:row>
      <xdr:rowOff>13607</xdr:rowOff>
    </xdr:to>
    <xdr:sp macro="" textlink="">
      <xdr:nvSpPr>
        <xdr:cNvPr id="2" name="Rectangle 1">
          <a:extLst>
            <a:ext uri="{FF2B5EF4-FFF2-40B4-BE49-F238E27FC236}">
              <a16:creationId xmlns:a16="http://schemas.microsoft.com/office/drawing/2014/main" xmlns="" id="{28205DEB-17DB-462E-961F-932563953D71}"/>
            </a:ext>
          </a:extLst>
        </xdr:cNvPr>
        <xdr:cNvSpPr/>
      </xdr:nvSpPr>
      <xdr:spPr>
        <a:xfrm>
          <a:off x="12423322" y="12641036"/>
          <a:ext cx="4517571" cy="175532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171449</xdr:colOff>
      <xdr:row>13</xdr:row>
      <xdr:rowOff>9525</xdr:rowOff>
    </xdr:from>
    <xdr:to>
      <xdr:col>15</xdr:col>
      <xdr:colOff>752474</xdr:colOff>
      <xdr:row>41</xdr:row>
      <xdr:rowOff>123825</xdr:rowOff>
    </xdr:to>
    <xdr:graphicFrame macro="">
      <xdr:nvGraphicFramePr>
        <xdr:cNvPr id="2" name="Chart 1">
          <a:extLst>
            <a:ext uri="{FF2B5EF4-FFF2-40B4-BE49-F238E27FC236}">
              <a16:creationId xmlns:a16="http://schemas.microsoft.com/office/drawing/2014/main" xmlns="" id="{9E96918A-B9DE-4569-9BD5-352EC038A7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171449</xdr:colOff>
      <xdr:row>13</xdr:row>
      <xdr:rowOff>9525</xdr:rowOff>
    </xdr:from>
    <xdr:to>
      <xdr:col>16</xdr:col>
      <xdr:colOff>752474</xdr:colOff>
      <xdr:row>43</xdr:row>
      <xdr:rowOff>123825</xdr:rowOff>
    </xdr:to>
    <xdr:graphicFrame macro="">
      <xdr:nvGraphicFramePr>
        <xdr:cNvPr id="2" name="Chart 1">
          <a:extLst>
            <a:ext uri="{FF2B5EF4-FFF2-40B4-BE49-F238E27FC236}">
              <a16:creationId xmlns:a16="http://schemas.microsoft.com/office/drawing/2014/main" xmlns="" id="{9D278A43-CDD6-4F1C-8823-B0E38B834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137</xdr:row>
      <xdr:rowOff>11906</xdr:rowOff>
    </xdr:from>
    <xdr:to>
      <xdr:col>11</xdr:col>
      <xdr:colOff>416718</xdr:colOff>
      <xdr:row>156</xdr:row>
      <xdr:rowOff>71437</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77"/>
  <sheetViews>
    <sheetView topLeftCell="A193" zoomScaleSheetLayoutView="50" workbookViewId="0">
      <selection activeCell="F200" sqref="F200:I203"/>
    </sheetView>
  </sheetViews>
  <sheetFormatPr defaultColWidth="9.140625" defaultRowHeight="11.25" x14ac:dyDescent="0.2"/>
  <cols>
    <col min="1" max="1" width="1.42578125" style="37" customWidth="1"/>
    <col min="2" max="2" width="8.42578125" style="37" customWidth="1"/>
    <col min="3" max="3" width="3" style="37" customWidth="1"/>
    <col min="4" max="4" width="10" style="37" customWidth="1"/>
    <col min="5" max="5" width="9.7109375" style="47" customWidth="1"/>
    <col min="6" max="6" width="63" style="47" customWidth="1"/>
    <col min="7" max="7" width="9" style="47" bestFit="1" customWidth="1"/>
    <col min="8" max="8" width="4.7109375" style="47" customWidth="1"/>
    <col min="9" max="9" width="9.7109375" style="48" customWidth="1"/>
    <col min="10" max="10" width="7.140625" style="52" customWidth="1"/>
    <col min="11" max="11" width="13.42578125" style="37" customWidth="1"/>
    <col min="12" max="12" width="12.140625" style="37" customWidth="1"/>
    <col min="13" max="13" width="8.7109375" style="51" customWidth="1"/>
    <col min="14" max="14" width="10.42578125" style="37" customWidth="1"/>
    <col min="15" max="15" width="13.140625" style="37" customWidth="1"/>
    <col min="16" max="16" width="6.28515625" style="37" bestFit="1" customWidth="1"/>
    <col min="17" max="17" width="2.140625" style="37" customWidth="1"/>
    <col min="18" max="18" width="9.140625" style="37"/>
    <col min="19" max="19" width="13.7109375" style="37" customWidth="1"/>
    <col min="20" max="16384" width="9.140625" style="37"/>
  </cols>
  <sheetData>
    <row r="1" spans="2:18" ht="20.25" x14ac:dyDescent="0.3">
      <c r="B1" s="46" t="s">
        <v>128</v>
      </c>
      <c r="J1" s="49"/>
      <c r="K1" s="50"/>
    </row>
    <row r="2" spans="2:18" ht="9.75" customHeight="1" thickBot="1" x14ac:dyDescent="0.35">
      <c r="B2" s="46"/>
    </row>
    <row r="3" spans="2:18" ht="21" thickBot="1" x14ac:dyDescent="0.35">
      <c r="B3" s="53" t="s">
        <v>1</v>
      </c>
      <c r="C3" s="54"/>
      <c r="D3" s="53"/>
      <c r="E3" s="300" t="s">
        <v>343</v>
      </c>
      <c r="F3" s="226"/>
      <c r="G3" s="53" t="s">
        <v>7</v>
      </c>
      <c r="H3" s="227">
        <v>2</v>
      </c>
      <c r="I3" s="53"/>
      <c r="L3" s="232" t="s">
        <v>243</v>
      </c>
      <c r="N3" s="53" t="s">
        <v>142</v>
      </c>
      <c r="P3" s="232" t="s">
        <v>223</v>
      </c>
      <c r="R3" s="37" t="s">
        <v>147</v>
      </c>
    </row>
    <row r="4" spans="2:18" ht="9.75" customHeight="1" x14ac:dyDescent="0.2">
      <c r="C4" s="55"/>
      <c r="D4" s="56"/>
      <c r="E4" s="57"/>
      <c r="F4" s="58"/>
      <c r="G4" s="58"/>
      <c r="H4" s="58"/>
      <c r="I4" s="59"/>
      <c r="J4" s="60"/>
    </row>
    <row r="5" spans="2:18" s="68" customFormat="1" x14ac:dyDescent="0.2">
      <c r="B5" s="61" t="s">
        <v>118</v>
      </c>
      <c r="C5" s="61" t="s">
        <v>120</v>
      </c>
      <c r="D5" s="61" t="s">
        <v>119</v>
      </c>
      <c r="E5" s="62" t="s">
        <v>121</v>
      </c>
      <c r="F5" s="62" t="s">
        <v>122</v>
      </c>
      <c r="G5" s="63" t="s">
        <v>123</v>
      </c>
      <c r="H5" s="63" t="s">
        <v>0</v>
      </c>
      <c r="I5" s="63" t="s">
        <v>50</v>
      </c>
      <c r="J5" s="64" t="s">
        <v>2</v>
      </c>
      <c r="K5" s="63" t="s">
        <v>50</v>
      </c>
      <c r="L5" s="64" t="s">
        <v>2</v>
      </c>
      <c r="M5" s="65" t="s">
        <v>26</v>
      </c>
      <c r="N5" s="66" t="s">
        <v>14</v>
      </c>
      <c r="O5" s="67" t="s">
        <v>48</v>
      </c>
      <c r="P5" s="67" t="s">
        <v>48</v>
      </c>
    </row>
    <row r="6" spans="2:18" s="68" customFormat="1" x14ac:dyDescent="0.2">
      <c r="B6" s="69"/>
      <c r="C6" s="69"/>
      <c r="D6" s="69"/>
      <c r="E6" s="70"/>
      <c r="F6" s="71" t="s">
        <v>89</v>
      </c>
      <c r="G6" s="72"/>
      <c r="H6" s="72"/>
      <c r="I6" s="967" t="s">
        <v>33</v>
      </c>
      <c r="J6" s="968"/>
      <c r="K6" s="969" t="s">
        <v>32</v>
      </c>
      <c r="L6" s="970"/>
      <c r="M6" s="73"/>
      <c r="N6" s="74" t="s">
        <v>47</v>
      </c>
      <c r="O6" s="75" t="s">
        <v>49</v>
      </c>
      <c r="P6" s="75" t="s">
        <v>51</v>
      </c>
    </row>
    <row r="7" spans="2:18" x14ac:dyDescent="0.2">
      <c r="B7" s="3">
        <v>41913</v>
      </c>
      <c r="C7" s="4"/>
      <c r="D7" s="76">
        <f t="shared" ref="D7:D12" si="0">B7+C7</f>
        <v>41913</v>
      </c>
      <c r="E7" s="21"/>
      <c r="F7" s="17" t="s">
        <v>352</v>
      </c>
      <c r="G7" s="21" t="s">
        <v>94</v>
      </c>
      <c r="H7" s="305">
        <v>120</v>
      </c>
      <c r="I7" s="21"/>
      <c r="J7" s="78"/>
      <c r="K7" s="21"/>
      <c r="L7" s="79"/>
      <c r="M7" s="211"/>
      <c r="N7" s="9"/>
      <c r="O7" s="80"/>
      <c r="P7" s="80"/>
      <c r="R7" s="81"/>
    </row>
    <row r="8" spans="2:18" x14ac:dyDescent="0.2">
      <c r="B8" s="82">
        <f t="shared" ref="B8:B13" si="1">D7</f>
        <v>41913</v>
      </c>
      <c r="C8" s="219">
        <v>1</v>
      </c>
      <c r="D8" s="82">
        <f t="shared" si="0"/>
        <v>41914</v>
      </c>
      <c r="E8" s="19" t="s">
        <v>344</v>
      </c>
      <c r="F8" s="15" t="s">
        <v>353</v>
      </c>
      <c r="G8" s="19" t="s">
        <v>349</v>
      </c>
      <c r="H8" s="305">
        <v>0</v>
      </c>
      <c r="I8" s="1"/>
      <c r="J8" s="83">
        <f>+I8*C8</f>
        <v>0</v>
      </c>
      <c r="K8" s="212">
        <v>228</v>
      </c>
      <c r="L8" s="83">
        <f>K8*C8</f>
        <v>228</v>
      </c>
      <c r="M8" s="212">
        <v>285</v>
      </c>
      <c r="N8" s="8">
        <f>M8*C8</f>
        <v>285</v>
      </c>
      <c r="O8" s="84">
        <f>+IF(L8&gt;1,(1-((L8/112*100)/(N8/112*100))),0)</f>
        <v>0.20000000000000007</v>
      </c>
      <c r="P8" s="84">
        <f>+IF(J8&gt;1,(1-((J8/112*100)/(N8/112*100))),0)</f>
        <v>0</v>
      </c>
    </row>
    <row r="9" spans="2:18" x14ac:dyDescent="0.2">
      <c r="B9" s="263">
        <f t="shared" si="1"/>
        <v>41914</v>
      </c>
      <c r="C9" s="264"/>
      <c r="D9" s="263">
        <f t="shared" si="0"/>
        <v>41914</v>
      </c>
      <c r="E9" s="265"/>
      <c r="F9" s="266" t="s">
        <v>354</v>
      </c>
      <c r="G9" s="265" t="s">
        <v>94</v>
      </c>
      <c r="H9" s="221">
        <v>245</v>
      </c>
      <c r="I9" s="2"/>
      <c r="J9" s="79"/>
      <c r="K9" s="2"/>
      <c r="L9" s="267"/>
      <c r="M9" s="213"/>
      <c r="N9" s="268"/>
      <c r="O9" s="85"/>
      <c r="P9" s="80"/>
    </row>
    <row r="10" spans="2:18" x14ac:dyDescent="0.2">
      <c r="B10" s="86">
        <f t="shared" si="1"/>
        <v>41914</v>
      </c>
      <c r="C10" s="220">
        <v>2</v>
      </c>
      <c r="D10" s="86">
        <f t="shared" si="0"/>
        <v>41916</v>
      </c>
      <c r="E10" s="20" t="s">
        <v>345</v>
      </c>
      <c r="F10" s="18" t="s">
        <v>355</v>
      </c>
      <c r="G10" s="239" t="s">
        <v>350</v>
      </c>
      <c r="H10" s="305">
        <v>150</v>
      </c>
      <c r="I10" s="212"/>
      <c r="J10" s="83">
        <f>+I10*C10</f>
        <v>0</v>
      </c>
      <c r="K10" s="212">
        <v>331</v>
      </c>
      <c r="L10" s="83">
        <f>K10*C10</f>
        <v>662</v>
      </c>
      <c r="M10" s="212">
        <f>K10*1.24</f>
        <v>410.44</v>
      </c>
      <c r="N10" s="8">
        <f>M10*C10</f>
        <v>820.88</v>
      </c>
      <c r="O10" s="84">
        <f>+IF(L10&gt;1,(1-((L10/112*100)/(N10/112*100))),0)</f>
        <v>0.19354838709677424</v>
      </c>
      <c r="P10" s="84">
        <f>+IF(J10&gt;1,(1-((J10/112*100)/(N10/112*100))),0)</f>
        <v>0</v>
      </c>
    </row>
    <row r="11" spans="2:18" x14ac:dyDescent="0.2">
      <c r="B11" s="76">
        <f t="shared" si="1"/>
        <v>41916</v>
      </c>
      <c r="C11" s="77"/>
      <c r="D11" s="76">
        <f t="shared" si="0"/>
        <v>41916</v>
      </c>
      <c r="E11" s="17"/>
      <c r="F11" s="17" t="s">
        <v>356</v>
      </c>
      <c r="G11" s="21" t="s">
        <v>94</v>
      </c>
      <c r="H11" s="221">
        <v>165</v>
      </c>
      <c r="I11" s="4"/>
      <c r="J11" s="79"/>
      <c r="K11" s="4"/>
      <c r="L11" s="79"/>
      <c r="M11" s="211"/>
      <c r="N11" s="9"/>
      <c r="O11" s="87"/>
      <c r="P11" s="80"/>
    </row>
    <row r="12" spans="2:18" x14ac:dyDescent="0.2">
      <c r="B12" s="86">
        <f t="shared" si="1"/>
        <v>41916</v>
      </c>
      <c r="C12" s="220">
        <v>2</v>
      </c>
      <c r="D12" s="86">
        <f t="shared" si="0"/>
        <v>41918</v>
      </c>
      <c r="E12" s="20" t="s">
        <v>346</v>
      </c>
      <c r="F12" s="16" t="s">
        <v>357</v>
      </c>
      <c r="G12" s="20" t="s">
        <v>349</v>
      </c>
      <c r="H12" s="222">
        <v>100</v>
      </c>
      <c r="I12" s="1"/>
      <c r="J12" s="83">
        <f>+I12*C12</f>
        <v>0</v>
      </c>
      <c r="K12" s="212">
        <v>240</v>
      </c>
      <c r="L12" s="83">
        <f>K12*C12</f>
        <v>480</v>
      </c>
      <c r="M12" s="212">
        <v>283</v>
      </c>
      <c r="N12" s="8">
        <f>M12*C12</f>
        <v>566</v>
      </c>
      <c r="O12" s="84">
        <f>+IF(L12&gt;1,(1-((L12/112*100)/(N12/112*100))),0)</f>
        <v>0.15194346289752658</v>
      </c>
      <c r="P12" s="84">
        <f>+IF(J12&gt;1,(1-((J12/112*100)/(N12/112*100))),0)</f>
        <v>0</v>
      </c>
    </row>
    <row r="13" spans="2:18" x14ac:dyDescent="0.2">
      <c r="B13" s="301">
        <f t="shared" si="1"/>
        <v>41918</v>
      </c>
      <c r="C13" s="302"/>
      <c r="D13" s="301">
        <f t="shared" ref="D13:D14" si="2">B13+C13</f>
        <v>41918</v>
      </c>
      <c r="E13" s="303"/>
      <c r="F13" s="303" t="s">
        <v>358</v>
      </c>
      <c r="G13" s="304" t="s">
        <v>365</v>
      </c>
      <c r="H13" s="305">
        <v>150</v>
      </c>
      <c r="I13" s="306"/>
      <c r="J13" s="307"/>
      <c r="K13" s="308"/>
      <c r="L13" s="307"/>
      <c r="M13" s="309"/>
      <c r="N13" s="310"/>
      <c r="O13" s="87"/>
      <c r="P13" s="80"/>
    </row>
    <row r="14" spans="2:18" x14ac:dyDescent="0.2">
      <c r="B14" s="86">
        <f t="shared" ref="B14" si="3">D13</f>
        <v>41918</v>
      </c>
      <c r="C14" s="220">
        <v>2</v>
      </c>
      <c r="D14" s="86">
        <f t="shared" si="2"/>
        <v>41920</v>
      </c>
      <c r="E14" s="18" t="s">
        <v>347</v>
      </c>
      <c r="F14" s="18" t="s">
        <v>359</v>
      </c>
      <c r="G14" s="239" t="s">
        <v>351</v>
      </c>
      <c r="H14" s="222">
        <v>100</v>
      </c>
      <c r="I14" s="240"/>
      <c r="J14" s="83">
        <f>+I14*C14</f>
        <v>0</v>
      </c>
      <c r="K14" s="212">
        <v>473</v>
      </c>
      <c r="L14" s="83">
        <f>K14*C14</f>
        <v>946</v>
      </c>
      <c r="M14" s="212">
        <v>556</v>
      </c>
      <c r="N14" s="8">
        <f>M14*C14</f>
        <v>1112</v>
      </c>
      <c r="O14" s="84">
        <f>+IF(L14&gt;1,(1-((L14/112*100)/(N14/112*100))),0)</f>
        <v>0.14928057553956842</v>
      </c>
      <c r="P14" s="84">
        <f>+IF(J14&gt;1,(1-((J14/112*100)/(N14/112*100))),0)</f>
        <v>0</v>
      </c>
    </row>
    <row r="15" spans="2:18" x14ac:dyDescent="0.2">
      <c r="B15" s="76">
        <f t="shared" ref="B15:B19" si="4">D14</f>
        <v>41920</v>
      </c>
      <c r="C15" s="77"/>
      <c r="D15" s="76">
        <f t="shared" ref="D15:D19" si="5">B15+C15</f>
        <v>41920</v>
      </c>
      <c r="E15" s="17"/>
      <c r="F15" s="17" t="s">
        <v>360</v>
      </c>
      <c r="G15" s="21" t="s">
        <v>94</v>
      </c>
      <c r="H15" s="305">
        <v>250</v>
      </c>
      <c r="I15" s="4"/>
      <c r="J15" s="79"/>
      <c r="K15" s="211"/>
      <c r="L15" s="79"/>
      <c r="M15" s="211"/>
      <c r="N15" s="9"/>
      <c r="O15" s="84"/>
      <c r="P15" s="84"/>
    </row>
    <row r="16" spans="2:18" x14ac:dyDescent="0.2">
      <c r="B16" s="86">
        <f t="shared" si="4"/>
        <v>41920</v>
      </c>
      <c r="C16" s="220">
        <v>3</v>
      </c>
      <c r="D16" s="86">
        <f t="shared" si="5"/>
        <v>41923</v>
      </c>
      <c r="E16" s="18" t="s">
        <v>348</v>
      </c>
      <c r="F16" s="18" t="s">
        <v>361</v>
      </c>
      <c r="G16" s="239" t="s">
        <v>349</v>
      </c>
      <c r="H16" s="222">
        <v>200</v>
      </c>
      <c r="I16" s="240"/>
      <c r="J16" s="83">
        <f>+I16*C16</f>
        <v>0</v>
      </c>
      <c r="K16" s="212">
        <v>250</v>
      </c>
      <c r="L16" s="83">
        <f>K16*C16</f>
        <v>750</v>
      </c>
      <c r="M16" s="212">
        <v>313</v>
      </c>
      <c r="N16" s="8">
        <f>M16*C16</f>
        <v>939</v>
      </c>
      <c r="O16" s="84">
        <f>+IF(L16&gt;1,(1-((L16/112*100)/(N16/112*100))),0)</f>
        <v>0.20127795527156556</v>
      </c>
      <c r="P16" s="84">
        <f>+IF(J16&gt;1,(1-((J16/112*100)/(N16/112*100))),0)</f>
        <v>0</v>
      </c>
    </row>
    <row r="17" spans="2:18" x14ac:dyDescent="0.2">
      <c r="B17" s="76">
        <f t="shared" si="4"/>
        <v>41923</v>
      </c>
      <c r="C17" s="77"/>
      <c r="D17" s="76">
        <f t="shared" si="5"/>
        <v>41923</v>
      </c>
      <c r="E17" s="17"/>
      <c r="F17" s="17" t="s">
        <v>362</v>
      </c>
      <c r="G17" s="21" t="s">
        <v>94</v>
      </c>
      <c r="H17" s="221">
        <v>130</v>
      </c>
      <c r="I17" s="4"/>
      <c r="J17" s="79"/>
      <c r="K17" s="211"/>
      <c r="L17" s="79"/>
      <c r="M17" s="211"/>
      <c r="N17" s="9"/>
      <c r="O17" s="84"/>
      <c r="P17" s="84"/>
    </row>
    <row r="18" spans="2:18" x14ac:dyDescent="0.2">
      <c r="B18" s="86">
        <f t="shared" si="4"/>
        <v>41923</v>
      </c>
      <c r="C18" s="220">
        <v>1</v>
      </c>
      <c r="D18" s="86">
        <f t="shared" si="5"/>
        <v>41924</v>
      </c>
      <c r="E18" s="18" t="s">
        <v>52</v>
      </c>
      <c r="F18" s="18" t="s">
        <v>363</v>
      </c>
      <c r="G18" s="239" t="s">
        <v>349</v>
      </c>
      <c r="H18" s="305">
        <v>0</v>
      </c>
      <c r="I18" s="240"/>
      <c r="J18" s="83">
        <f>+I18*C18</f>
        <v>0</v>
      </c>
      <c r="K18" s="212">
        <v>249</v>
      </c>
      <c r="L18" s="83">
        <f>K18*C18</f>
        <v>249</v>
      </c>
      <c r="M18" s="212">
        <v>311</v>
      </c>
      <c r="N18" s="8">
        <f>M18*C18</f>
        <v>311</v>
      </c>
      <c r="O18" s="84">
        <f>+IF(L18&gt;1,(1-((L18/112*100)/(N18/112*100))),0)</f>
        <v>0.19935691318327986</v>
      </c>
      <c r="P18" s="84">
        <f>+IF(J18&gt;1,(1-((J18/112*100)/(N18/112*100))),0)</f>
        <v>0</v>
      </c>
    </row>
    <row r="19" spans="2:18" x14ac:dyDescent="0.2">
      <c r="B19" s="76">
        <f t="shared" si="4"/>
        <v>41924</v>
      </c>
      <c r="C19" s="77"/>
      <c r="D19" s="76">
        <f t="shared" si="5"/>
        <v>41924</v>
      </c>
      <c r="E19" s="17"/>
      <c r="F19" s="17" t="s">
        <v>364</v>
      </c>
      <c r="G19" s="21" t="s">
        <v>94</v>
      </c>
      <c r="H19" s="305">
        <v>120</v>
      </c>
      <c r="I19" s="4"/>
      <c r="J19" s="79"/>
      <c r="K19" s="2"/>
      <c r="L19" s="79"/>
      <c r="M19" s="213"/>
      <c r="N19" s="9"/>
      <c r="O19" s="87"/>
      <c r="P19" s="80"/>
    </row>
    <row r="20" spans="2:18" ht="12" thickBot="1" x14ac:dyDescent="0.25">
      <c r="B20" s="69"/>
      <c r="C20" s="69"/>
      <c r="D20" s="69"/>
      <c r="E20" s="70"/>
      <c r="F20" s="71" t="s">
        <v>90</v>
      </c>
      <c r="G20" s="72"/>
      <c r="H20" s="72">
        <v>150</v>
      </c>
      <c r="I20" s="72"/>
      <c r="J20" s="72"/>
      <c r="K20" s="72"/>
      <c r="L20" s="72"/>
      <c r="M20" s="72"/>
      <c r="N20" s="72"/>
      <c r="O20" s="88"/>
      <c r="P20" s="88"/>
    </row>
    <row r="21" spans="2:18" ht="12" thickBot="1" x14ac:dyDescent="0.25">
      <c r="B21" s="89"/>
      <c r="C21" s="23">
        <f>SUM(C7:C19)</f>
        <v>11</v>
      </c>
      <c r="D21" s="90"/>
      <c r="E21" s="23"/>
      <c r="F21" s="23"/>
      <c r="G21" s="23"/>
      <c r="H21" s="23">
        <f>SUM(H7:H20)</f>
        <v>1880</v>
      </c>
      <c r="I21" s="23"/>
      <c r="J21" s="24">
        <f>SUM(J7:J19)</f>
        <v>0</v>
      </c>
      <c r="K21" s="23"/>
      <c r="L21" s="24">
        <f>SUM(L7:L19)</f>
        <v>3315</v>
      </c>
      <c r="M21" s="91"/>
      <c r="N21" s="24">
        <f>SUM(N7:N19)</f>
        <v>4033.88</v>
      </c>
      <c r="O21" s="87"/>
      <c r="P21" s="85"/>
    </row>
    <row r="22" spans="2:18" ht="12" thickBot="1" x14ac:dyDescent="0.25">
      <c r="B22" s="92"/>
      <c r="C22" s="93"/>
      <c r="D22" s="94"/>
      <c r="E22" s="93"/>
      <c r="F22" s="93"/>
      <c r="G22" s="93"/>
      <c r="H22" s="95"/>
      <c r="I22" s="93"/>
      <c r="J22" s="96"/>
      <c r="K22" s="93"/>
      <c r="L22" s="96"/>
      <c r="M22" s="97"/>
      <c r="N22" s="96"/>
    </row>
    <row r="23" spans="2:18" x14ac:dyDescent="0.2">
      <c r="C23" s="98"/>
      <c r="F23" s="99" t="s">
        <v>11</v>
      </c>
      <c r="G23" s="100" t="s">
        <v>4</v>
      </c>
      <c r="H23" s="101" t="s">
        <v>6</v>
      </c>
      <c r="I23" s="29" t="s">
        <v>15</v>
      </c>
      <c r="J23" s="37"/>
      <c r="K23" s="81" t="s">
        <v>115</v>
      </c>
      <c r="L23" s="95"/>
      <c r="M23" s="102"/>
      <c r="N23" s="95"/>
      <c r="O23" s="95"/>
      <c r="P23" s="103"/>
    </row>
    <row r="24" spans="2:18" x14ac:dyDescent="0.2">
      <c r="B24" s="55"/>
      <c r="C24" s="98"/>
      <c r="F24" s="104" t="s">
        <v>3</v>
      </c>
      <c r="G24" s="5"/>
      <c r="H24" s="105"/>
      <c r="I24" s="22">
        <f>tk</f>
        <v>1880</v>
      </c>
      <c r="J24" s="37" t="s">
        <v>10</v>
      </c>
      <c r="K24" s="81" t="s">
        <v>113</v>
      </c>
    </row>
    <row r="25" spans="2:18" x14ac:dyDescent="0.2">
      <c r="B25" s="55"/>
      <c r="F25" s="106" t="s">
        <v>91</v>
      </c>
      <c r="G25" s="5"/>
      <c r="H25" s="224">
        <v>40</v>
      </c>
      <c r="I25" s="22">
        <f>I24*H25</f>
        <v>75200</v>
      </c>
      <c r="J25" s="37"/>
      <c r="K25" s="95" t="s">
        <v>124</v>
      </c>
    </row>
    <row r="26" spans="2:18" ht="12" thickBot="1" x14ac:dyDescent="0.25">
      <c r="B26" s="55"/>
      <c r="F26" s="106" t="s">
        <v>66</v>
      </c>
      <c r="G26" s="10">
        <v>0</v>
      </c>
      <c r="H26" s="105">
        <v>800</v>
      </c>
      <c r="I26" s="22">
        <f>G26*H26</f>
        <v>0</v>
      </c>
      <c r="J26" s="37"/>
      <c r="K26" s="81" t="s">
        <v>92</v>
      </c>
    </row>
    <row r="27" spans="2:18" x14ac:dyDescent="0.2">
      <c r="B27" s="55"/>
      <c r="F27" s="106" t="s">
        <v>67</v>
      </c>
      <c r="G27" s="10">
        <v>0</v>
      </c>
      <c r="H27" s="105">
        <v>2000</v>
      </c>
      <c r="I27" s="22">
        <f>G27*H27</f>
        <v>0</v>
      </c>
      <c r="J27" s="37"/>
      <c r="K27" s="95" t="s">
        <v>93</v>
      </c>
      <c r="L27" s="95" t="s">
        <v>94</v>
      </c>
      <c r="M27" s="95"/>
      <c r="N27" s="107" t="s">
        <v>231</v>
      </c>
      <c r="O27" s="108"/>
      <c r="P27" s="109"/>
      <c r="Q27" s="110"/>
      <c r="R27" s="110"/>
    </row>
    <row r="28" spans="2:18" x14ac:dyDescent="0.2">
      <c r="B28" s="55"/>
      <c r="F28" s="106" t="s">
        <v>86</v>
      </c>
      <c r="G28" s="10">
        <v>12</v>
      </c>
      <c r="H28" s="105">
        <v>800</v>
      </c>
      <c r="I28" s="22">
        <f>G28*H28</f>
        <v>9600</v>
      </c>
      <c r="J28" s="37"/>
      <c r="K28" s="95" t="s">
        <v>101</v>
      </c>
      <c r="L28" s="95" t="s">
        <v>100</v>
      </c>
      <c r="M28" s="95"/>
      <c r="N28" s="111" t="s">
        <v>232</v>
      </c>
      <c r="O28" s="110"/>
      <c r="P28" s="112"/>
      <c r="Q28" s="110"/>
      <c r="R28" s="110"/>
    </row>
    <row r="29" spans="2:18" x14ac:dyDescent="0.2">
      <c r="B29" s="113"/>
      <c r="C29" s="114"/>
      <c r="D29" s="56"/>
      <c r="F29" s="106" t="s">
        <v>65</v>
      </c>
      <c r="G29" s="10">
        <v>0</v>
      </c>
      <c r="H29" s="105">
        <v>2000</v>
      </c>
      <c r="I29" s="22">
        <f t="shared" ref="I29:I37" si="6">G29*H29</f>
        <v>0</v>
      </c>
      <c r="J29" s="37"/>
      <c r="K29" s="95" t="s">
        <v>95</v>
      </c>
      <c r="L29" s="95" t="s">
        <v>129</v>
      </c>
      <c r="M29" s="95"/>
      <c r="N29" s="111" t="s">
        <v>231</v>
      </c>
      <c r="O29" s="110"/>
      <c r="P29" s="112"/>
      <c r="Q29" s="110"/>
      <c r="R29" s="110"/>
    </row>
    <row r="30" spans="2:18" x14ac:dyDescent="0.2">
      <c r="B30" s="113"/>
      <c r="C30" s="114"/>
      <c r="D30" s="56"/>
      <c r="F30" s="115" t="s">
        <v>88</v>
      </c>
      <c r="G30" s="10">
        <v>0</v>
      </c>
      <c r="H30" s="225">
        <v>3000</v>
      </c>
      <c r="I30" s="22">
        <f t="shared" si="6"/>
        <v>0</v>
      </c>
      <c r="J30" s="37"/>
      <c r="K30" s="95" t="s">
        <v>96</v>
      </c>
      <c r="L30" s="95" t="s">
        <v>97</v>
      </c>
      <c r="M30" s="95"/>
      <c r="N30" s="111" t="s">
        <v>134</v>
      </c>
      <c r="O30" s="110"/>
      <c r="P30" s="112"/>
      <c r="Q30" s="110"/>
      <c r="R30" s="110"/>
    </row>
    <row r="31" spans="2:18" ht="12" thickBot="1" x14ac:dyDescent="0.25">
      <c r="B31" s="113"/>
      <c r="C31" s="114"/>
      <c r="D31" s="56"/>
      <c r="F31" s="115" t="s">
        <v>87</v>
      </c>
      <c r="G31" s="10">
        <v>12</v>
      </c>
      <c r="H31" s="311">
        <v>4000</v>
      </c>
      <c r="I31" s="22">
        <f t="shared" si="6"/>
        <v>48000</v>
      </c>
      <c r="J31" s="37"/>
      <c r="K31" s="95" t="s">
        <v>98</v>
      </c>
      <c r="L31" s="95" t="s">
        <v>99</v>
      </c>
      <c r="M31" s="102"/>
      <c r="N31" s="116" t="s">
        <v>135</v>
      </c>
      <c r="O31" s="117"/>
      <c r="P31" s="118"/>
      <c r="Q31" s="110"/>
      <c r="R31" s="110"/>
    </row>
    <row r="32" spans="2:18" x14ac:dyDescent="0.2">
      <c r="B32" s="113"/>
      <c r="C32" s="114"/>
      <c r="D32" s="56"/>
      <c r="F32" s="115" t="s">
        <v>64</v>
      </c>
      <c r="G32" s="10">
        <v>11</v>
      </c>
      <c r="H32" s="225">
        <v>6750</v>
      </c>
      <c r="I32" s="22">
        <f t="shared" si="6"/>
        <v>74250</v>
      </c>
      <c r="J32" s="37"/>
      <c r="K32" s="81" t="s">
        <v>106</v>
      </c>
    </row>
    <row r="33" spans="2:15" x14ac:dyDescent="0.2">
      <c r="B33" s="113"/>
      <c r="C33" s="114"/>
      <c r="D33" s="56"/>
      <c r="F33" s="115" t="s">
        <v>103</v>
      </c>
      <c r="G33" s="10">
        <v>0</v>
      </c>
      <c r="H33" s="225">
        <v>2000</v>
      </c>
      <c r="I33" s="22">
        <f t="shared" si="6"/>
        <v>0</v>
      </c>
      <c r="J33" s="37"/>
      <c r="K33" s="95" t="s">
        <v>107</v>
      </c>
    </row>
    <row r="34" spans="2:15" x14ac:dyDescent="0.2">
      <c r="B34" s="113"/>
      <c r="C34" s="114"/>
      <c r="D34" s="56"/>
      <c r="F34" s="115" t="s">
        <v>105</v>
      </c>
      <c r="G34" s="10">
        <v>0</v>
      </c>
      <c r="H34" s="225">
        <v>4000</v>
      </c>
      <c r="I34" s="22">
        <f t="shared" si="6"/>
        <v>0</v>
      </c>
      <c r="J34" s="37"/>
      <c r="K34" s="95" t="s">
        <v>108</v>
      </c>
      <c r="L34" s="95"/>
      <c r="M34" s="102"/>
      <c r="N34" s="95"/>
      <c r="O34" s="95"/>
    </row>
    <row r="35" spans="2:15" x14ac:dyDescent="0.2">
      <c r="B35" s="113"/>
      <c r="C35" s="114"/>
      <c r="D35" s="56"/>
      <c r="F35" s="115" t="s">
        <v>104</v>
      </c>
      <c r="G35" s="10">
        <v>0</v>
      </c>
      <c r="H35" s="225">
        <v>5000</v>
      </c>
      <c r="I35" s="22">
        <f t="shared" si="6"/>
        <v>0</v>
      </c>
      <c r="J35" s="37"/>
      <c r="K35" s="95" t="s">
        <v>109</v>
      </c>
      <c r="L35" s="95"/>
      <c r="M35" s="102"/>
      <c r="N35" s="95"/>
      <c r="O35" s="95"/>
    </row>
    <row r="36" spans="2:15" x14ac:dyDescent="0.2">
      <c r="B36" s="113"/>
      <c r="C36" s="114"/>
      <c r="D36" s="56"/>
      <c r="F36" s="115" t="s">
        <v>234</v>
      </c>
      <c r="G36" s="10">
        <v>0</v>
      </c>
      <c r="H36" s="225">
        <v>5000</v>
      </c>
      <c r="I36" s="22">
        <f t="shared" si="6"/>
        <v>0</v>
      </c>
      <c r="J36" s="37"/>
      <c r="K36" s="95" t="s">
        <v>114</v>
      </c>
      <c r="L36" s="95"/>
      <c r="M36" s="235"/>
      <c r="N36" s="95"/>
      <c r="O36" s="95"/>
    </row>
    <row r="37" spans="2:15" ht="12" thickBot="1" x14ac:dyDescent="0.25">
      <c r="B37" s="113"/>
      <c r="C37" s="119"/>
      <c r="D37" s="119"/>
      <c r="F37" s="259" t="s">
        <v>244</v>
      </c>
      <c r="G37" s="11">
        <v>0</v>
      </c>
      <c r="H37" s="120">
        <v>650</v>
      </c>
      <c r="I37" s="22">
        <f t="shared" si="6"/>
        <v>0</v>
      </c>
      <c r="J37" s="37"/>
      <c r="K37" s="37" t="s">
        <v>127</v>
      </c>
      <c r="L37" s="95"/>
      <c r="M37" s="102"/>
      <c r="N37" s="95"/>
      <c r="O37" s="95"/>
    </row>
    <row r="38" spans="2:15" x14ac:dyDescent="0.2">
      <c r="B38" s="113"/>
      <c r="C38" s="119"/>
      <c r="D38" s="119"/>
      <c r="F38" s="121" t="s">
        <v>21</v>
      </c>
      <c r="G38" s="122"/>
      <c r="H38" s="123"/>
      <c r="I38" s="25">
        <f>SUM(I25:I37)</f>
        <v>207050</v>
      </c>
      <c r="J38" s="37"/>
      <c r="L38" s="95"/>
      <c r="M38" s="102"/>
      <c r="N38" s="95"/>
      <c r="O38" s="95"/>
    </row>
    <row r="39" spans="2:15" ht="12" thickBot="1" x14ac:dyDescent="0.25">
      <c r="B39" s="119"/>
      <c r="C39" s="119"/>
      <c r="D39" s="119"/>
      <c r="F39" s="124" t="s">
        <v>245</v>
      </c>
      <c r="G39" s="125"/>
      <c r="H39" s="244">
        <v>125</v>
      </c>
      <c r="I39" s="26">
        <f>I38/H39</f>
        <v>1656.4</v>
      </c>
      <c r="J39" s="37"/>
      <c r="K39" s="37" t="s">
        <v>246</v>
      </c>
      <c r="L39" s="95"/>
      <c r="M39" s="102"/>
      <c r="N39" s="95"/>
      <c r="O39" s="95"/>
    </row>
    <row r="40" spans="2:15" ht="12" thickBot="1" x14ac:dyDescent="0.25">
      <c r="F40" s="126" t="s">
        <v>72</v>
      </c>
      <c r="G40" s="127"/>
      <c r="H40" s="128"/>
      <c r="I40" s="27">
        <f>I39</f>
        <v>1656.4</v>
      </c>
      <c r="K40" s="103" t="s">
        <v>224</v>
      </c>
      <c r="L40" s="95"/>
      <c r="M40" s="102"/>
      <c r="N40" s="95"/>
      <c r="O40" s="95"/>
    </row>
    <row r="41" spans="2:15" ht="12" thickBot="1" x14ac:dyDescent="0.25">
      <c r="F41" s="37"/>
      <c r="G41" s="92"/>
      <c r="H41" s="37"/>
      <c r="I41" s="28"/>
      <c r="J41" s="47"/>
      <c r="K41" s="129"/>
      <c r="L41" s="95"/>
      <c r="M41" s="102"/>
      <c r="N41" s="95"/>
      <c r="O41" s="95"/>
    </row>
    <row r="42" spans="2:15" x14ac:dyDescent="0.2">
      <c r="F42" s="99" t="s">
        <v>17</v>
      </c>
      <c r="G42" s="130" t="s">
        <v>7</v>
      </c>
      <c r="H42" s="101" t="s">
        <v>5</v>
      </c>
      <c r="I42" s="29" t="s">
        <v>15</v>
      </c>
      <c r="J42" s="47"/>
      <c r="K42" s="81" t="s">
        <v>116</v>
      </c>
      <c r="L42" s="95"/>
      <c r="M42" s="102"/>
      <c r="N42" s="95"/>
      <c r="O42" s="95"/>
    </row>
    <row r="43" spans="2:15" x14ac:dyDescent="0.2">
      <c r="F43" s="106" t="s">
        <v>40</v>
      </c>
      <c r="G43" s="12">
        <v>2</v>
      </c>
      <c r="H43" s="105">
        <v>20</v>
      </c>
      <c r="I43" s="22">
        <f>G43*H43</f>
        <v>40</v>
      </c>
      <c r="J43" s="47"/>
      <c r="K43" s="95" t="s">
        <v>110</v>
      </c>
      <c r="L43" s="95"/>
      <c r="M43" s="102"/>
      <c r="N43" s="95"/>
      <c r="O43" s="95"/>
    </row>
    <row r="44" spans="2:15" x14ac:dyDescent="0.2">
      <c r="F44" s="106" t="s">
        <v>143</v>
      </c>
      <c r="G44" s="12">
        <v>2</v>
      </c>
      <c r="H44" s="105">
        <v>50</v>
      </c>
      <c r="I44" s="22">
        <f>G44*H44</f>
        <v>100</v>
      </c>
      <c r="J44" s="55"/>
      <c r="K44" s="95" t="s">
        <v>111</v>
      </c>
      <c r="L44" s="95"/>
      <c r="M44" s="102"/>
      <c r="N44" s="95"/>
      <c r="O44" s="95"/>
    </row>
    <row r="45" spans="2:15" x14ac:dyDescent="0.2">
      <c r="F45" s="106" t="s">
        <v>18</v>
      </c>
      <c r="G45" s="12">
        <v>1</v>
      </c>
      <c r="H45" s="105">
        <v>35</v>
      </c>
      <c r="I45" s="312">
        <f>G45*H45</f>
        <v>35</v>
      </c>
      <c r="J45" s="47"/>
      <c r="K45" s="95" t="s">
        <v>112</v>
      </c>
      <c r="L45" s="95"/>
      <c r="M45" s="102"/>
      <c r="N45" s="95"/>
      <c r="O45" s="95"/>
    </row>
    <row r="46" spans="2:15" x14ac:dyDescent="0.2">
      <c r="F46" s="106" t="s">
        <v>144</v>
      </c>
      <c r="G46" s="12">
        <v>0</v>
      </c>
      <c r="H46" s="105">
        <v>55</v>
      </c>
      <c r="I46" s="22">
        <f>G46*H46</f>
        <v>0</v>
      </c>
      <c r="J46" s="47"/>
      <c r="K46" s="95"/>
      <c r="L46" s="95"/>
      <c r="M46" s="235"/>
      <c r="N46" s="95"/>
      <c r="O46" s="95"/>
    </row>
    <row r="47" spans="2:15" x14ac:dyDescent="0.2">
      <c r="F47" s="106" t="s">
        <v>18</v>
      </c>
      <c r="G47" s="12">
        <v>0</v>
      </c>
      <c r="H47" s="105">
        <v>35</v>
      </c>
      <c r="I47" s="22">
        <f>G47*H47</f>
        <v>0</v>
      </c>
      <c r="J47" s="47"/>
      <c r="K47" s="95"/>
      <c r="L47" s="95"/>
      <c r="M47" s="235"/>
      <c r="N47" s="95"/>
      <c r="O47" s="95"/>
    </row>
    <row r="48" spans="2:15" x14ac:dyDescent="0.2">
      <c r="F48" s="106" t="s">
        <v>145</v>
      </c>
      <c r="G48" s="12">
        <v>1</v>
      </c>
      <c r="H48" s="105">
        <v>25</v>
      </c>
      <c r="I48" s="312">
        <f t="shared" ref="I48:I53" si="7">G48*H48</f>
        <v>25</v>
      </c>
      <c r="J48" s="47"/>
      <c r="L48" s="95"/>
      <c r="M48" s="102"/>
      <c r="N48" s="95"/>
      <c r="O48" s="95"/>
    </row>
    <row r="49" spans="1:20" x14ac:dyDescent="0.2">
      <c r="F49" s="106" t="s">
        <v>102</v>
      </c>
      <c r="G49" s="12">
        <v>1</v>
      </c>
      <c r="H49" s="6">
        <v>50</v>
      </c>
      <c r="I49" s="312">
        <f>G49*H49</f>
        <v>50</v>
      </c>
      <c r="J49" s="47"/>
      <c r="K49" s="37" t="s">
        <v>247</v>
      </c>
    </row>
    <row r="50" spans="1:20" x14ac:dyDescent="0.2">
      <c r="F50" s="315" t="s">
        <v>225</v>
      </c>
      <c r="G50" s="12">
        <v>1</v>
      </c>
      <c r="H50" s="6">
        <v>10</v>
      </c>
      <c r="I50" s="312">
        <f>G50*H50</f>
        <v>10</v>
      </c>
      <c r="J50" s="47"/>
      <c r="K50" s="37" t="s">
        <v>248</v>
      </c>
      <c r="M50" s="234"/>
    </row>
    <row r="51" spans="1:20" x14ac:dyDescent="0.2">
      <c r="F51" s="315" t="s">
        <v>233</v>
      </c>
      <c r="G51" s="12">
        <v>2</v>
      </c>
      <c r="H51" s="6">
        <v>20</v>
      </c>
      <c r="I51" s="312">
        <f>G51*H51</f>
        <v>40</v>
      </c>
      <c r="J51" s="47"/>
      <c r="K51" s="37" t="s">
        <v>249</v>
      </c>
      <c r="M51" s="234"/>
    </row>
    <row r="52" spans="1:20" x14ac:dyDescent="0.2">
      <c r="F52" s="315" t="s">
        <v>76</v>
      </c>
      <c r="G52" s="12">
        <v>1</v>
      </c>
      <c r="H52" s="105">
        <v>5</v>
      </c>
      <c r="I52" s="312">
        <f t="shared" si="7"/>
        <v>5</v>
      </c>
      <c r="J52" s="47"/>
      <c r="K52" s="52" t="s">
        <v>252</v>
      </c>
    </row>
    <row r="53" spans="1:20" x14ac:dyDescent="0.2">
      <c r="F53" s="106" t="s">
        <v>250</v>
      </c>
      <c r="G53" s="12">
        <v>1</v>
      </c>
      <c r="H53" s="105">
        <v>6</v>
      </c>
      <c r="I53" s="22">
        <f t="shared" si="7"/>
        <v>6</v>
      </c>
      <c r="J53" s="47"/>
      <c r="K53" s="131"/>
    </row>
    <row r="54" spans="1:20" ht="12" thickBot="1" x14ac:dyDescent="0.25">
      <c r="F54" s="106" t="s">
        <v>251</v>
      </c>
      <c r="G54" s="12">
        <v>1</v>
      </c>
      <c r="H54" s="105">
        <v>6</v>
      </c>
      <c r="I54" s="22">
        <f t="shared" ref="I54" si="8">G54*H54</f>
        <v>6</v>
      </c>
      <c r="J54" s="47"/>
      <c r="K54" s="131"/>
      <c r="M54" s="234"/>
    </row>
    <row r="55" spans="1:20" ht="12" thickBot="1" x14ac:dyDescent="0.25">
      <c r="F55" s="132" t="s">
        <v>73</v>
      </c>
      <c r="G55" s="133"/>
      <c r="H55" s="134"/>
      <c r="I55" s="30">
        <f>SUM(I43:I54)</f>
        <v>317</v>
      </c>
      <c r="J55" s="47"/>
      <c r="K55" s="131"/>
    </row>
    <row r="56" spans="1:20" ht="12" thickBot="1" x14ac:dyDescent="0.25">
      <c r="I56" s="31"/>
      <c r="J56" s="47"/>
      <c r="K56" s="81" t="s">
        <v>283</v>
      </c>
      <c r="L56" s="137"/>
    </row>
    <row r="57" spans="1:20" s="51" customFormat="1" ht="12" thickBot="1" x14ac:dyDescent="0.25">
      <c r="A57" s="37"/>
      <c r="B57" s="37"/>
      <c r="C57" s="37"/>
      <c r="D57" s="37"/>
      <c r="E57" s="47"/>
      <c r="F57" s="135" t="s">
        <v>368</v>
      </c>
      <c r="G57" s="130" t="s">
        <v>7</v>
      </c>
      <c r="H57" s="136" t="s">
        <v>5</v>
      </c>
      <c r="I57" s="32" t="s">
        <v>15</v>
      </c>
      <c r="K57" s="273" t="s">
        <v>284</v>
      </c>
      <c r="L57" s="274" t="s">
        <v>285</v>
      </c>
    </row>
    <row r="58" spans="1:20" s="51" customFormat="1" x14ac:dyDescent="0.2">
      <c r="A58" s="37"/>
      <c r="B58" s="37"/>
      <c r="C58" s="37"/>
      <c r="D58" s="37"/>
      <c r="E58" s="47"/>
      <c r="F58" s="138" t="s">
        <v>136</v>
      </c>
      <c r="G58" s="139"/>
      <c r="H58" s="140"/>
      <c r="I58" s="33"/>
      <c r="K58" s="280"/>
      <c r="L58" s="280"/>
    </row>
    <row r="59" spans="1:20" s="234" customFormat="1" x14ac:dyDescent="0.2">
      <c r="A59" s="37"/>
      <c r="B59" s="37"/>
      <c r="C59" s="37"/>
      <c r="D59" s="37"/>
      <c r="E59" s="47"/>
      <c r="F59" s="141" t="s">
        <v>215</v>
      </c>
      <c r="G59" s="10">
        <v>0</v>
      </c>
      <c r="H59" s="105">
        <v>25</v>
      </c>
      <c r="I59" s="233">
        <f>IF(G59&gt;0.99,((H59*G59)+50),G59)</f>
        <v>0</v>
      </c>
      <c r="K59" s="276"/>
      <c r="L59" s="277"/>
      <c r="M59" s="51"/>
      <c r="N59" s="51"/>
      <c r="O59" s="51"/>
      <c r="P59" s="51"/>
      <c r="Q59" s="51"/>
      <c r="R59" s="51"/>
      <c r="T59" s="238"/>
    </row>
    <row r="60" spans="1:20" s="234" customFormat="1" x14ac:dyDescent="0.2">
      <c r="A60" s="37"/>
      <c r="B60" s="37"/>
      <c r="C60" s="37"/>
      <c r="D60" s="37"/>
      <c r="E60" s="47"/>
      <c r="F60" s="141" t="s">
        <v>216</v>
      </c>
      <c r="G60" s="10">
        <v>0</v>
      </c>
      <c r="H60" s="105">
        <v>25</v>
      </c>
      <c r="I60" s="233">
        <f>IF(G60&gt;0.99,((H60*G60)+100),G60)</f>
        <v>0</v>
      </c>
      <c r="K60" s="276"/>
      <c r="L60" s="277"/>
      <c r="M60" s="51"/>
      <c r="N60" s="51"/>
      <c r="O60" s="51"/>
      <c r="P60" s="51"/>
      <c r="Q60" s="51"/>
      <c r="R60" s="51"/>
      <c r="T60" s="238"/>
    </row>
    <row r="61" spans="1:20" s="51" customFormat="1" ht="10.5" customHeight="1" x14ac:dyDescent="0.2">
      <c r="A61" s="37"/>
      <c r="B61" s="37"/>
      <c r="C61" s="37"/>
      <c r="D61" s="37"/>
      <c r="E61" s="47"/>
      <c r="F61" s="106" t="s">
        <v>146</v>
      </c>
      <c r="G61" s="10">
        <v>0</v>
      </c>
      <c r="H61" s="105">
        <v>100</v>
      </c>
      <c r="I61" s="34">
        <f>G61*H61</f>
        <v>0</v>
      </c>
      <c r="K61" s="276"/>
      <c r="L61" s="277"/>
    </row>
    <row r="62" spans="1:20" s="51" customFormat="1" x14ac:dyDescent="0.2">
      <c r="A62" s="37"/>
      <c r="B62" s="37"/>
      <c r="C62" s="37"/>
      <c r="D62" s="37"/>
      <c r="E62" s="47"/>
      <c r="F62" s="138" t="s">
        <v>53</v>
      </c>
      <c r="G62" s="139"/>
      <c r="H62" s="140"/>
      <c r="I62" s="33"/>
      <c r="K62" s="275"/>
      <c r="L62" s="275"/>
    </row>
    <row r="63" spans="1:20" s="51" customFormat="1" x14ac:dyDescent="0.2">
      <c r="A63" s="37"/>
      <c r="B63" s="37"/>
      <c r="C63" s="37"/>
      <c r="D63" s="37"/>
      <c r="E63" s="47"/>
      <c r="F63" s="106" t="s">
        <v>155</v>
      </c>
      <c r="G63" s="10">
        <v>2</v>
      </c>
      <c r="H63" s="105">
        <v>30</v>
      </c>
      <c r="I63" s="233">
        <f>IF(G63&gt;0.99,((H63*G63)+20),G63)</f>
        <v>80</v>
      </c>
      <c r="J63" s="51">
        <f>G63*H63</f>
        <v>60</v>
      </c>
      <c r="K63" s="275"/>
      <c r="L63" s="275"/>
      <c r="T63" s="237"/>
    </row>
    <row r="64" spans="1:20" x14ac:dyDescent="0.2">
      <c r="F64" s="106" t="s">
        <v>226</v>
      </c>
      <c r="G64" s="10">
        <v>0</v>
      </c>
      <c r="H64" s="6">
        <v>30</v>
      </c>
      <c r="I64" s="233">
        <f>IF(G64&gt;0.99,((H64*G64)+20),G64)</f>
        <v>0</v>
      </c>
      <c r="J64" s="37"/>
      <c r="K64" s="278"/>
      <c r="L64" s="278"/>
      <c r="M64" s="234"/>
    </row>
    <row r="65" spans="1:20" s="51" customFormat="1" x14ac:dyDescent="0.2">
      <c r="A65" s="37"/>
      <c r="B65" s="37"/>
      <c r="C65" s="37"/>
      <c r="D65" s="37"/>
      <c r="E65" s="47"/>
      <c r="F65" s="106" t="s">
        <v>156</v>
      </c>
      <c r="G65" s="10">
        <v>2</v>
      </c>
      <c r="H65" s="105">
        <v>13</v>
      </c>
      <c r="I65" s="233">
        <f>IF(G65&gt;0.99,((H65*G65)+10),G65)</f>
        <v>36</v>
      </c>
      <c r="J65" s="234">
        <f>G65*H65</f>
        <v>26</v>
      </c>
      <c r="K65" s="276"/>
      <c r="L65" s="278"/>
      <c r="T65" s="238"/>
    </row>
    <row r="66" spans="1:20" s="51" customFormat="1" x14ac:dyDescent="0.2">
      <c r="A66" s="37"/>
      <c r="B66" s="37"/>
      <c r="C66" s="37"/>
      <c r="D66" s="37"/>
      <c r="E66" s="47"/>
      <c r="F66" s="106" t="s">
        <v>157</v>
      </c>
      <c r="G66" s="10">
        <v>2</v>
      </c>
      <c r="H66" s="105">
        <v>25</v>
      </c>
      <c r="I66" s="233">
        <f>IF(G66&gt;0.99,((H66*G66)+15),G66)</f>
        <v>65</v>
      </c>
      <c r="J66" s="234">
        <f>G66*H66</f>
        <v>50</v>
      </c>
      <c r="K66" s="144"/>
      <c r="L66" s="279"/>
      <c r="S66" s="234"/>
      <c r="T66" s="238"/>
    </row>
    <row r="67" spans="1:20" s="51" customFormat="1" x14ac:dyDescent="0.2">
      <c r="A67" s="37"/>
      <c r="B67" s="37"/>
      <c r="C67" s="37"/>
      <c r="D67" s="37"/>
      <c r="E67" s="47"/>
      <c r="F67" s="141" t="s">
        <v>54</v>
      </c>
      <c r="G67" s="10">
        <v>0</v>
      </c>
      <c r="H67" s="105">
        <v>60</v>
      </c>
      <c r="I67" s="233">
        <f>IF(G67&gt;0.99,((H67*G67)+0),G67)</f>
        <v>0</v>
      </c>
      <c r="J67" s="234"/>
      <c r="K67" s="278"/>
      <c r="L67" s="278"/>
      <c r="T67" s="238"/>
    </row>
    <row r="68" spans="1:20" s="234" customFormat="1" x14ac:dyDescent="0.2">
      <c r="A68" s="37"/>
      <c r="B68" s="37"/>
      <c r="C68" s="37"/>
      <c r="D68" s="37"/>
      <c r="E68" s="47"/>
      <c r="F68" s="141" t="s">
        <v>210</v>
      </c>
      <c r="G68" s="10">
        <v>0</v>
      </c>
      <c r="H68" s="105">
        <v>35</v>
      </c>
      <c r="I68" s="233">
        <f>IF(G68&gt;0.99,((H68*G68)+0),G68)</f>
        <v>0</v>
      </c>
      <c r="K68" s="278"/>
      <c r="L68" s="278"/>
      <c r="T68" s="238"/>
    </row>
    <row r="69" spans="1:20" s="51" customFormat="1" x14ac:dyDescent="0.2">
      <c r="A69" s="37"/>
      <c r="B69" s="37"/>
      <c r="C69" s="37"/>
      <c r="D69" s="37"/>
      <c r="E69" s="47"/>
      <c r="F69" s="141" t="s">
        <v>158</v>
      </c>
      <c r="G69" s="10">
        <v>0</v>
      </c>
      <c r="H69" s="105">
        <v>25</v>
      </c>
      <c r="I69" s="233">
        <f>IF(G69&gt;0.99,((H69*G69)+50),G69)</f>
        <v>0</v>
      </c>
      <c r="J69" s="234"/>
      <c r="K69" s="278"/>
      <c r="L69" s="278"/>
      <c r="T69" s="238"/>
    </row>
    <row r="70" spans="1:20" s="51" customFormat="1" x14ac:dyDescent="0.2">
      <c r="A70" s="37"/>
      <c r="B70" s="37"/>
      <c r="C70" s="37"/>
      <c r="D70" s="37"/>
      <c r="E70" s="47"/>
      <c r="F70" s="141" t="s">
        <v>159</v>
      </c>
      <c r="G70" s="10">
        <v>0</v>
      </c>
      <c r="H70" s="105">
        <v>25</v>
      </c>
      <c r="I70" s="233">
        <f>IF(G70&gt;0.99,((H70*G70)+100),G70)</f>
        <v>0</v>
      </c>
      <c r="J70" s="234"/>
      <c r="K70" s="278"/>
      <c r="L70" s="278"/>
      <c r="T70" s="238"/>
    </row>
    <row r="71" spans="1:20" s="234" customFormat="1" x14ac:dyDescent="0.2">
      <c r="A71" s="37"/>
      <c r="B71" s="37"/>
      <c r="C71" s="37"/>
      <c r="D71" s="37"/>
      <c r="E71" s="47"/>
      <c r="F71" s="141" t="s">
        <v>227</v>
      </c>
      <c r="G71" s="10">
        <v>0</v>
      </c>
      <c r="H71" s="105">
        <v>30</v>
      </c>
      <c r="I71" s="233">
        <f>IF(G71&gt;0.99,((H71*G71)+0),G71)</f>
        <v>0</v>
      </c>
      <c r="K71" s="278"/>
      <c r="L71" s="278"/>
      <c r="T71" s="238"/>
    </row>
    <row r="72" spans="1:20" s="234" customFormat="1" x14ac:dyDescent="0.2">
      <c r="A72" s="37"/>
      <c r="B72" s="37"/>
      <c r="C72" s="37"/>
      <c r="D72" s="37"/>
      <c r="E72" s="47"/>
      <c r="F72" s="141" t="s">
        <v>253</v>
      </c>
      <c r="G72" s="10">
        <v>0</v>
      </c>
      <c r="H72" s="105">
        <v>175</v>
      </c>
      <c r="I72" s="233">
        <f>IF(G72&gt;0.99,((H72*G72)+0),G72)</f>
        <v>0</v>
      </c>
      <c r="K72" s="278"/>
      <c r="L72" s="278"/>
      <c r="T72" s="238"/>
    </row>
    <row r="73" spans="1:20" s="234" customFormat="1" x14ac:dyDescent="0.2">
      <c r="A73" s="37"/>
      <c r="B73" s="37"/>
      <c r="C73" s="37"/>
      <c r="D73" s="37"/>
      <c r="E73" s="47"/>
      <c r="F73" s="141" t="s">
        <v>160</v>
      </c>
      <c r="G73" s="10">
        <v>0</v>
      </c>
      <c r="H73" s="105">
        <v>10</v>
      </c>
      <c r="I73" s="233">
        <f>IF(G73&gt;0.99,((H73*G73)+10),G73)</f>
        <v>0</v>
      </c>
      <c r="K73" s="278"/>
      <c r="L73" s="278"/>
      <c r="T73" s="238"/>
    </row>
    <row r="74" spans="1:20" s="234" customFormat="1" x14ac:dyDescent="0.2">
      <c r="A74" s="37"/>
      <c r="B74" s="37"/>
      <c r="C74" s="37"/>
      <c r="D74" s="37"/>
      <c r="E74" s="47"/>
      <c r="F74" s="141" t="s">
        <v>161</v>
      </c>
      <c r="G74" s="10">
        <v>0</v>
      </c>
      <c r="H74" s="105">
        <v>15</v>
      </c>
      <c r="I74" s="233">
        <f t="shared" ref="I74:I78" si="9">IF(G74&gt;0.99,((H74*G74)+10),G74)</f>
        <v>0</v>
      </c>
      <c r="K74" s="278"/>
      <c r="L74" s="278"/>
      <c r="T74" s="238"/>
    </row>
    <row r="75" spans="1:20" s="234" customFormat="1" x14ac:dyDescent="0.2">
      <c r="A75" s="37"/>
      <c r="B75" s="37"/>
      <c r="C75" s="37"/>
      <c r="D75" s="37"/>
      <c r="E75" s="47"/>
      <c r="F75" s="141" t="s">
        <v>228</v>
      </c>
      <c r="G75" s="10">
        <v>0</v>
      </c>
      <c r="H75" s="105">
        <v>65</v>
      </c>
      <c r="I75" s="233">
        <f t="shared" si="9"/>
        <v>0</v>
      </c>
      <c r="K75" s="278"/>
      <c r="L75" s="278"/>
      <c r="T75" s="238"/>
    </row>
    <row r="76" spans="1:20" s="234" customFormat="1" x14ac:dyDescent="0.2">
      <c r="A76" s="37"/>
      <c r="B76" s="37"/>
      <c r="C76" s="37"/>
      <c r="D76" s="37"/>
      <c r="E76" s="47"/>
      <c r="F76" s="141" t="s">
        <v>254</v>
      </c>
      <c r="G76" s="10">
        <v>0</v>
      </c>
      <c r="H76" s="105">
        <v>35</v>
      </c>
      <c r="I76" s="233">
        <f t="shared" ref="I76" si="10">IF(G76&gt;0.99,((H76*G76)+10),G76)</f>
        <v>0</v>
      </c>
      <c r="K76" s="278"/>
      <c r="L76" s="278"/>
      <c r="T76" s="238"/>
    </row>
    <row r="77" spans="1:20" s="234" customFormat="1" x14ac:dyDescent="0.2">
      <c r="A77" s="37"/>
      <c r="B77" s="37"/>
      <c r="C77" s="37"/>
      <c r="D77" s="37"/>
      <c r="E77" s="47"/>
      <c r="F77" s="141" t="s">
        <v>229</v>
      </c>
      <c r="G77" s="10">
        <v>0</v>
      </c>
      <c r="H77" s="105">
        <v>30</v>
      </c>
      <c r="I77" s="233">
        <f t="shared" si="9"/>
        <v>0</v>
      </c>
      <c r="K77" s="278"/>
      <c r="L77" s="278"/>
      <c r="T77" s="238"/>
    </row>
    <row r="78" spans="1:20" s="234" customFormat="1" x14ac:dyDescent="0.2">
      <c r="A78" s="37"/>
      <c r="B78" s="37"/>
      <c r="C78" s="37"/>
      <c r="D78" s="37"/>
      <c r="E78" s="47"/>
      <c r="F78" s="141" t="s">
        <v>230</v>
      </c>
      <c r="G78" s="10">
        <v>0</v>
      </c>
      <c r="H78" s="105">
        <v>105</v>
      </c>
      <c r="I78" s="233">
        <f t="shared" si="9"/>
        <v>0</v>
      </c>
      <c r="K78" s="278"/>
      <c r="L78" s="278"/>
      <c r="T78" s="238"/>
    </row>
    <row r="79" spans="1:20" s="234" customFormat="1" x14ac:dyDescent="0.2">
      <c r="A79" s="37"/>
      <c r="B79" s="37"/>
      <c r="C79" s="37"/>
      <c r="D79" s="37"/>
      <c r="E79" s="47"/>
      <c r="F79" s="141" t="s">
        <v>255</v>
      </c>
      <c r="G79" s="10">
        <v>0</v>
      </c>
      <c r="H79" s="105">
        <v>75</v>
      </c>
      <c r="I79" s="233">
        <f t="shared" ref="I79" si="11">IF(G79&gt;0.99,((H79*G79)+10),G79)</f>
        <v>0</v>
      </c>
      <c r="K79" s="278"/>
      <c r="L79" s="278"/>
      <c r="T79" s="238"/>
    </row>
    <row r="80" spans="1:20" s="234" customFormat="1" x14ac:dyDescent="0.2">
      <c r="A80" s="37"/>
      <c r="B80" s="37"/>
      <c r="C80" s="37"/>
      <c r="D80" s="37"/>
      <c r="E80" s="47"/>
      <c r="F80" s="141" t="s">
        <v>217</v>
      </c>
      <c r="G80" s="10">
        <v>0</v>
      </c>
      <c r="H80" s="105">
        <v>30</v>
      </c>
      <c r="I80" s="233">
        <f>IF(G80&gt;0.99,((H80*G80)+20),G80)</f>
        <v>0</v>
      </c>
      <c r="K80" s="278"/>
      <c r="L80" s="278"/>
      <c r="T80" s="238"/>
    </row>
    <row r="81" spans="1:20" s="51" customFormat="1" x14ac:dyDescent="0.2">
      <c r="A81" s="37"/>
      <c r="B81" s="37"/>
      <c r="C81" s="37"/>
      <c r="D81" s="37"/>
      <c r="E81" s="47"/>
      <c r="F81" s="138" t="s">
        <v>39</v>
      </c>
      <c r="G81" s="214"/>
      <c r="H81" s="142"/>
      <c r="I81" s="35"/>
      <c r="J81" s="234"/>
      <c r="K81" s="278"/>
      <c r="L81" s="278"/>
      <c r="T81" s="238"/>
    </row>
    <row r="82" spans="1:20" s="51" customFormat="1" x14ac:dyDescent="0.2">
      <c r="A82" s="37"/>
      <c r="B82" s="37"/>
      <c r="C82" s="37"/>
      <c r="D82" s="37"/>
      <c r="E82" s="47"/>
      <c r="F82" s="106" t="s">
        <v>162</v>
      </c>
      <c r="G82" s="10">
        <v>2</v>
      </c>
      <c r="H82" s="105">
        <v>12</v>
      </c>
      <c r="I82" s="233">
        <f>IF(G82&gt;0.99,((H82*G82)+0),G82)</f>
        <v>24</v>
      </c>
      <c r="J82" s="234">
        <f>G82*H82</f>
        <v>24</v>
      </c>
      <c r="K82" s="278"/>
      <c r="L82" s="278"/>
      <c r="T82" s="238"/>
    </row>
    <row r="83" spans="1:20" s="51" customFormat="1" hidden="1" x14ac:dyDescent="0.2">
      <c r="A83" s="37"/>
      <c r="B83" s="37"/>
      <c r="C83" s="37"/>
      <c r="D83" s="37"/>
      <c r="E83" s="47"/>
      <c r="F83" s="106" t="s">
        <v>55</v>
      </c>
      <c r="G83" s="10">
        <v>0</v>
      </c>
      <c r="H83" s="105">
        <v>10</v>
      </c>
      <c r="I83" s="233">
        <f>G83*H83+(T83*G83)</f>
        <v>0</v>
      </c>
      <c r="J83" s="234"/>
      <c r="K83" s="144"/>
      <c r="L83" s="278"/>
      <c r="T83" s="238"/>
    </row>
    <row r="84" spans="1:20" s="51" customFormat="1" x14ac:dyDescent="0.2">
      <c r="A84" s="37"/>
      <c r="B84" s="37"/>
      <c r="C84" s="37"/>
      <c r="D84" s="37"/>
      <c r="E84" s="47"/>
      <c r="F84" s="106" t="s">
        <v>163</v>
      </c>
      <c r="G84" s="10">
        <v>0</v>
      </c>
      <c r="H84" s="105">
        <v>5</v>
      </c>
      <c r="I84" s="233">
        <f>IF(G84&gt;0.99,((H84*G84)+0),G84)</f>
        <v>0</v>
      </c>
      <c r="J84" s="234">
        <f>G84*H84</f>
        <v>0</v>
      </c>
      <c r="K84" s="144"/>
      <c r="L84" s="278"/>
      <c r="T84" s="238"/>
    </row>
    <row r="85" spans="1:20" s="51" customFormat="1" x14ac:dyDescent="0.2">
      <c r="A85" s="37"/>
      <c r="B85" s="37"/>
      <c r="C85" s="37"/>
      <c r="D85" s="37"/>
      <c r="E85" s="47"/>
      <c r="F85" s="106" t="s">
        <v>164</v>
      </c>
      <c r="G85" s="10">
        <v>0</v>
      </c>
      <c r="H85" s="105">
        <v>12</v>
      </c>
      <c r="I85" s="233">
        <f>IF(G85&gt;0.99,((H85*G85)+20),G85)</f>
        <v>0</v>
      </c>
      <c r="J85" s="234"/>
      <c r="K85" s="144"/>
      <c r="L85" s="278"/>
      <c r="T85" s="238"/>
    </row>
    <row r="86" spans="1:20" s="51" customFormat="1" x14ac:dyDescent="0.2">
      <c r="A86" s="37"/>
      <c r="B86" s="37"/>
      <c r="C86" s="37"/>
      <c r="D86" s="37"/>
      <c r="E86" s="47"/>
      <c r="F86" s="106" t="s">
        <v>256</v>
      </c>
      <c r="G86" s="10">
        <v>2</v>
      </c>
      <c r="H86" s="105">
        <v>5</v>
      </c>
      <c r="I86" s="233">
        <f t="shared" ref="I86:I142" si="12">IF(G86&gt;0.99,((H86*G86)+0),G86)</f>
        <v>10</v>
      </c>
      <c r="J86" s="234">
        <f>G86*H86</f>
        <v>10</v>
      </c>
      <c r="K86" s="144"/>
      <c r="L86" s="278"/>
      <c r="T86" s="238"/>
    </row>
    <row r="87" spans="1:20" s="234" customFormat="1" x14ac:dyDescent="0.2">
      <c r="A87" s="37"/>
      <c r="B87" s="37"/>
      <c r="C87" s="37"/>
      <c r="D87" s="37"/>
      <c r="E87" s="47"/>
      <c r="F87" s="106" t="s">
        <v>168</v>
      </c>
      <c r="G87" s="10">
        <v>0</v>
      </c>
      <c r="H87" s="105">
        <v>5</v>
      </c>
      <c r="I87" s="233">
        <f t="shared" si="12"/>
        <v>0</v>
      </c>
      <c r="K87" s="144"/>
      <c r="L87" s="278"/>
      <c r="T87" s="238"/>
    </row>
    <row r="88" spans="1:20" x14ac:dyDescent="0.2">
      <c r="F88" s="106" t="s">
        <v>166</v>
      </c>
      <c r="G88" s="10">
        <v>0</v>
      </c>
      <c r="H88" s="105">
        <v>5</v>
      </c>
      <c r="I88" s="233">
        <f t="shared" si="12"/>
        <v>0</v>
      </c>
      <c r="K88" s="278"/>
      <c r="L88" s="278"/>
      <c r="T88" s="238"/>
    </row>
    <row r="89" spans="1:20" x14ac:dyDescent="0.2">
      <c r="F89" s="106" t="s">
        <v>165</v>
      </c>
      <c r="G89" s="10">
        <v>0</v>
      </c>
      <c r="H89" s="105">
        <v>20</v>
      </c>
      <c r="I89" s="233">
        <f t="shared" si="12"/>
        <v>0</v>
      </c>
      <c r="K89" s="278"/>
      <c r="L89" s="278"/>
      <c r="T89" s="238"/>
    </row>
    <row r="90" spans="1:20" x14ac:dyDescent="0.2">
      <c r="F90" s="141" t="s">
        <v>169</v>
      </c>
      <c r="G90" s="10">
        <v>0</v>
      </c>
      <c r="H90" s="105">
        <v>15</v>
      </c>
      <c r="I90" s="233">
        <f t="shared" si="12"/>
        <v>0</v>
      </c>
      <c r="K90" s="278"/>
      <c r="L90" s="278"/>
      <c r="M90" s="234"/>
      <c r="T90" s="238"/>
    </row>
    <row r="91" spans="1:20" x14ac:dyDescent="0.2">
      <c r="F91" s="141" t="s">
        <v>56</v>
      </c>
      <c r="G91" s="10">
        <v>0</v>
      </c>
      <c r="H91" s="105">
        <v>65</v>
      </c>
      <c r="I91" s="233">
        <f t="shared" si="12"/>
        <v>0</v>
      </c>
      <c r="K91" s="278"/>
      <c r="L91" s="278"/>
      <c r="T91" s="238"/>
    </row>
    <row r="92" spans="1:20" x14ac:dyDescent="0.2">
      <c r="F92" s="141" t="s">
        <v>170</v>
      </c>
      <c r="G92" s="10">
        <v>0</v>
      </c>
      <c r="H92" s="105">
        <v>50</v>
      </c>
      <c r="I92" s="233">
        <f t="shared" si="12"/>
        <v>0</v>
      </c>
      <c r="K92" s="278"/>
      <c r="L92" s="278"/>
      <c r="M92" s="234"/>
      <c r="T92" s="238"/>
    </row>
    <row r="93" spans="1:20" x14ac:dyDescent="0.2">
      <c r="F93" s="141" t="s">
        <v>167</v>
      </c>
      <c r="G93" s="10">
        <v>0</v>
      </c>
      <c r="H93" s="105">
        <v>15</v>
      </c>
      <c r="I93" s="233">
        <f t="shared" si="12"/>
        <v>0</v>
      </c>
      <c r="K93" s="278"/>
      <c r="L93" s="278"/>
      <c r="M93" s="234"/>
      <c r="T93" s="238"/>
    </row>
    <row r="94" spans="1:20" x14ac:dyDescent="0.2">
      <c r="F94" s="141" t="s">
        <v>218</v>
      </c>
      <c r="G94" s="10">
        <v>0</v>
      </c>
      <c r="H94" s="105">
        <v>5</v>
      </c>
      <c r="I94" s="233">
        <f>IF(G94&gt;0.99,((H94*G94)+0),G94)</f>
        <v>0</v>
      </c>
      <c r="K94" s="278"/>
      <c r="L94" s="278"/>
      <c r="M94" s="234"/>
      <c r="T94" s="238"/>
    </row>
    <row r="95" spans="1:20" x14ac:dyDescent="0.2">
      <c r="F95" s="106" t="s">
        <v>220</v>
      </c>
      <c r="G95" s="10">
        <v>0</v>
      </c>
      <c r="H95" s="6">
        <v>40</v>
      </c>
      <c r="I95" s="233">
        <f>G95*H95</f>
        <v>0</v>
      </c>
      <c r="J95" s="37"/>
      <c r="K95" s="278"/>
      <c r="L95" s="278"/>
      <c r="M95" s="234"/>
    </row>
    <row r="96" spans="1:20" x14ac:dyDescent="0.2">
      <c r="F96" s="141" t="s">
        <v>70</v>
      </c>
      <c r="G96" s="10">
        <v>0</v>
      </c>
      <c r="H96" s="105">
        <v>90</v>
      </c>
      <c r="I96" s="233">
        <f t="shared" si="12"/>
        <v>0</v>
      </c>
      <c r="K96" s="278"/>
      <c r="L96" s="278"/>
      <c r="T96" s="238"/>
    </row>
    <row r="97" spans="6:20" x14ac:dyDescent="0.2">
      <c r="F97" s="138" t="s">
        <v>57</v>
      </c>
      <c r="G97" s="215"/>
      <c r="H97" s="142"/>
      <c r="I97" s="35"/>
      <c r="K97" s="278"/>
      <c r="L97" s="278"/>
      <c r="T97" s="238"/>
    </row>
    <row r="98" spans="6:20" x14ac:dyDescent="0.2">
      <c r="F98" s="141" t="s">
        <v>257</v>
      </c>
      <c r="G98" s="10">
        <v>0</v>
      </c>
      <c r="H98" s="105">
        <v>30</v>
      </c>
      <c r="I98" s="233">
        <f>IF(G98&gt;0.99,((H98*G98)+20),G98)</f>
        <v>0</v>
      </c>
      <c r="J98" s="234"/>
      <c r="K98" s="278"/>
      <c r="L98" s="278"/>
      <c r="T98" s="238"/>
    </row>
    <row r="99" spans="6:20" x14ac:dyDescent="0.2">
      <c r="F99" s="141" t="s">
        <v>169</v>
      </c>
      <c r="G99" s="10">
        <v>0</v>
      </c>
      <c r="H99" s="105">
        <v>15</v>
      </c>
      <c r="I99" s="233">
        <f t="shared" si="12"/>
        <v>0</v>
      </c>
      <c r="K99" s="278"/>
      <c r="L99" s="278"/>
      <c r="T99" s="238"/>
    </row>
    <row r="100" spans="6:20" x14ac:dyDescent="0.2">
      <c r="F100" s="141" t="s">
        <v>171</v>
      </c>
      <c r="G100" s="10">
        <v>0</v>
      </c>
      <c r="H100" s="105">
        <v>20</v>
      </c>
      <c r="I100" s="233">
        <f t="shared" si="12"/>
        <v>0</v>
      </c>
      <c r="K100" s="278"/>
      <c r="L100" s="278"/>
      <c r="T100" s="238"/>
    </row>
    <row r="101" spans="6:20" x14ac:dyDescent="0.2">
      <c r="F101" s="141" t="s">
        <v>173</v>
      </c>
      <c r="G101" s="10">
        <v>0</v>
      </c>
      <c r="H101" s="105">
        <v>25</v>
      </c>
      <c r="I101" s="233">
        <f>IF(G101&gt;0.99,((H101*G101)+50),G101)</f>
        <v>0</v>
      </c>
      <c r="K101" s="278" t="s">
        <v>211</v>
      </c>
      <c r="L101" s="278"/>
      <c r="M101" s="234"/>
      <c r="T101" s="238"/>
    </row>
    <row r="102" spans="6:20" x14ac:dyDescent="0.2">
      <c r="F102" s="141" t="s">
        <v>174</v>
      </c>
      <c r="G102" s="10">
        <v>0</v>
      </c>
      <c r="H102" s="105">
        <v>25</v>
      </c>
      <c r="I102" s="233">
        <f>IF(G102&gt;0.99,((H102*G102)+100),G102)</f>
        <v>0</v>
      </c>
      <c r="K102" s="278" t="s">
        <v>211</v>
      </c>
      <c r="L102" s="278"/>
      <c r="M102" s="234"/>
      <c r="T102" s="238"/>
    </row>
    <row r="103" spans="6:20" x14ac:dyDescent="0.2">
      <c r="F103" s="141" t="s">
        <v>172</v>
      </c>
      <c r="G103" s="10">
        <v>0</v>
      </c>
      <c r="H103" s="105">
        <v>12</v>
      </c>
      <c r="I103" s="233">
        <f t="shared" si="12"/>
        <v>0</v>
      </c>
      <c r="K103" s="278"/>
      <c r="L103" s="278"/>
      <c r="M103" s="234"/>
      <c r="T103" s="238"/>
    </row>
    <row r="104" spans="6:20" x14ac:dyDescent="0.2">
      <c r="F104" s="141" t="s">
        <v>178</v>
      </c>
      <c r="G104" s="10">
        <v>0</v>
      </c>
      <c r="H104" s="105">
        <v>5</v>
      </c>
      <c r="I104" s="233">
        <f t="shared" si="12"/>
        <v>0</v>
      </c>
      <c r="K104" s="278"/>
      <c r="L104" s="278"/>
      <c r="M104" s="234"/>
      <c r="T104" s="238"/>
    </row>
    <row r="105" spans="6:20" x14ac:dyDescent="0.2">
      <c r="F105" s="141" t="s">
        <v>179</v>
      </c>
      <c r="G105" s="10">
        <v>0</v>
      </c>
      <c r="H105" s="105">
        <v>5</v>
      </c>
      <c r="I105" s="233">
        <f>IF(G105&gt;0.99,((H105*G105)+10),G105)</f>
        <v>0</v>
      </c>
      <c r="K105" s="278"/>
      <c r="L105" s="278"/>
      <c r="M105" s="234"/>
      <c r="T105" s="238"/>
    </row>
    <row r="106" spans="6:20" x14ac:dyDescent="0.2">
      <c r="F106" s="141" t="s">
        <v>258</v>
      </c>
      <c r="G106" s="10">
        <v>0</v>
      </c>
      <c r="H106" s="105">
        <v>30</v>
      </c>
      <c r="I106" s="233">
        <f>IF(G106&gt;0.99,((H106*G106)+20),G106)</f>
        <v>0</v>
      </c>
      <c r="J106" s="234"/>
      <c r="K106" s="278"/>
      <c r="L106" s="278"/>
      <c r="M106" s="234"/>
      <c r="T106" s="238"/>
    </row>
    <row r="107" spans="6:20" x14ac:dyDescent="0.2">
      <c r="F107" s="141" t="s">
        <v>177</v>
      </c>
      <c r="G107" s="10">
        <v>0</v>
      </c>
      <c r="H107" s="105">
        <v>85</v>
      </c>
      <c r="I107" s="233">
        <f t="shared" si="12"/>
        <v>0</v>
      </c>
      <c r="J107" s="234"/>
      <c r="K107" s="278"/>
      <c r="L107" s="278"/>
      <c r="M107" s="234"/>
      <c r="T107" s="238"/>
    </row>
    <row r="108" spans="6:20" x14ac:dyDescent="0.2">
      <c r="F108" s="141" t="s">
        <v>175</v>
      </c>
      <c r="G108" s="10">
        <v>0</v>
      </c>
      <c r="H108" s="105">
        <v>35</v>
      </c>
      <c r="I108" s="233">
        <f>IF(G108&gt;0.99,((H108*G108)+40),G108)</f>
        <v>0</v>
      </c>
      <c r="J108" s="234"/>
      <c r="K108" s="278"/>
      <c r="L108" s="278"/>
      <c r="M108" s="234"/>
      <c r="T108" s="238"/>
    </row>
    <row r="109" spans="6:20" x14ac:dyDescent="0.2">
      <c r="F109" s="141" t="s">
        <v>176</v>
      </c>
      <c r="G109" s="10">
        <v>0</v>
      </c>
      <c r="H109" s="105">
        <v>70</v>
      </c>
      <c r="I109" s="233">
        <f>IF(G109&gt;0.99,((H109*G109)+60),G109)</f>
        <v>0</v>
      </c>
      <c r="J109" s="234"/>
      <c r="K109" s="278"/>
      <c r="L109" s="278"/>
      <c r="M109" s="234"/>
      <c r="T109" s="238"/>
    </row>
    <row r="110" spans="6:20" x14ac:dyDescent="0.2">
      <c r="F110" s="141" t="s">
        <v>58</v>
      </c>
      <c r="G110" s="10">
        <v>0</v>
      </c>
      <c r="H110" s="105">
        <v>65</v>
      </c>
      <c r="I110" s="233">
        <f t="shared" si="12"/>
        <v>0</v>
      </c>
      <c r="K110" s="278"/>
      <c r="L110" s="278"/>
      <c r="T110" s="238"/>
    </row>
    <row r="111" spans="6:20" x14ac:dyDescent="0.2">
      <c r="F111" s="141" t="s">
        <v>259</v>
      </c>
      <c r="G111" s="10">
        <v>0</v>
      </c>
      <c r="H111" s="105">
        <v>10</v>
      </c>
      <c r="I111" s="233">
        <f>IF(G111&gt;0.99,((H111*G111)+0),G111)</f>
        <v>0</v>
      </c>
      <c r="K111" s="278"/>
      <c r="L111" s="278"/>
      <c r="M111" s="234"/>
      <c r="T111" s="238"/>
    </row>
    <row r="112" spans="6:20" x14ac:dyDescent="0.2">
      <c r="F112" s="138" t="s">
        <v>180</v>
      </c>
      <c r="G112" s="215"/>
      <c r="H112" s="142"/>
      <c r="I112" s="35"/>
      <c r="K112" s="278"/>
      <c r="L112" s="278"/>
      <c r="M112" s="234"/>
      <c r="T112" s="238"/>
    </row>
    <row r="113" spans="6:20" x14ac:dyDescent="0.2">
      <c r="F113" s="141" t="s">
        <v>181</v>
      </c>
      <c r="G113" s="10">
        <v>0</v>
      </c>
      <c r="H113" s="105">
        <v>25</v>
      </c>
      <c r="I113" s="233">
        <f>IF(G113&gt;0.99,((H113*G113)+50),G113)</f>
        <v>0</v>
      </c>
      <c r="J113" s="234"/>
      <c r="K113" s="278" t="s">
        <v>211</v>
      </c>
      <c r="L113" s="278"/>
      <c r="M113" s="234"/>
      <c r="T113" s="238"/>
    </row>
    <row r="114" spans="6:20" x14ac:dyDescent="0.2">
      <c r="F114" s="141" t="s">
        <v>182</v>
      </c>
      <c r="G114" s="10">
        <v>0</v>
      </c>
      <c r="H114" s="105">
        <v>25</v>
      </c>
      <c r="I114" s="233">
        <f>IF(G114&gt;0.99,((H114*G114)+100),G114)</f>
        <v>0</v>
      </c>
      <c r="J114" s="234"/>
      <c r="K114" s="278" t="s">
        <v>211</v>
      </c>
      <c r="L114" s="278"/>
      <c r="M114" s="234"/>
      <c r="T114" s="238"/>
    </row>
    <row r="115" spans="6:20" x14ac:dyDescent="0.2">
      <c r="F115" s="141" t="s">
        <v>185</v>
      </c>
      <c r="G115" s="10">
        <v>0</v>
      </c>
      <c r="H115" s="105">
        <v>5</v>
      </c>
      <c r="I115" s="233">
        <f t="shared" si="12"/>
        <v>0</v>
      </c>
      <c r="K115" s="278"/>
      <c r="L115" s="278"/>
      <c r="M115" s="234"/>
      <c r="T115" s="238"/>
    </row>
    <row r="116" spans="6:20" x14ac:dyDescent="0.2">
      <c r="F116" s="106" t="s">
        <v>183</v>
      </c>
      <c r="G116" s="10">
        <v>0</v>
      </c>
      <c r="H116" s="105">
        <v>10</v>
      </c>
      <c r="I116" s="233">
        <f t="shared" si="12"/>
        <v>0</v>
      </c>
      <c r="J116" s="234"/>
      <c r="K116" s="278"/>
      <c r="L116" s="278"/>
      <c r="M116" s="234"/>
      <c r="T116" s="238"/>
    </row>
    <row r="117" spans="6:20" x14ac:dyDescent="0.2">
      <c r="F117" s="106" t="s">
        <v>184</v>
      </c>
      <c r="G117" s="10">
        <v>0</v>
      </c>
      <c r="H117" s="105">
        <v>10</v>
      </c>
      <c r="I117" s="233">
        <f t="shared" si="12"/>
        <v>0</v>
      </c>
      <c r="J117" s="234"/>
      <c r="K117" s="278"/>
      <c r="L117" s="278"/>
      <c r="M117" s="234"/>
      <c r="T117" s="238"/>
    </row>
    <row r="118" spans="6:20" x14ac:dyDescent="0.2">
      <c r="F118" s="138" t="s">
        <v>186</v>
      </c>
      <c r="G118" s="215"/>
      <c r="H118" s="142"/>
      <c r="I118" s="35"/>
      <c r="K118" s="278"/>
      <c r="L118" s="278"/>
      <c r="T118" s="238"/>
    </row>
    <row r="119" spans="6:20" x14ac:dyDescent="0.2">
      <c r="F119" s="141" t="s">
        <v>187</v>
      </c>
      <c r="G119" s="10">
        <v>0</v>
      </c>
      <c r="H119" s="105">
        <v>25</v>
      </c>
      <c r="I119" s="233">
        <f>IF(G119&gt;0.99,((H119*G119)+50),G119)</f>
        <v>0</v>
      </c>
      <c r="K119" s="278" t="s">
        <v>211</v>
      </c>
      <c r="L119" s="278"/>
      <c r="T119" s="238"/>
    </row>
    <row r="120" spans="6:20" x14ac:dyDescent="0.2">
      <c r="F120" s="141" t="s">
        <v>193</v>
      </c>
      <c r="G120" s="10">
        <v>0</v>
      </c>
      <c r="H120" s="105">
        <v>25</v>
      </c>
      <c r="I120" s="233">
        <f>IF(G120&gt;0.99,((H120*G120)+100),G120)</f>
        <v>0</v>
      </c>
      <c r="J120" s="234"/>
      <c r="K120" s="278" t="s">
        <v>211</v>
      </c>
      <c r="L120" s="278"/>
      <c r="T120" s="238"/>
    </row>
    <row r="121" spans="6:20" x14ac:dyDescent="0.2">
      <c r="F121" s="106" t="s">
        <v>188</v>
      </c>
      <c r="G121" s="10">
        <v>0</v>
      </c>
      <c r="H121" s="105">
        <v>10</v>
      </c>
      <c r="I121" s="233">
        <f t="shared" si="12"/>
        <v>0</v>
      </c>
      <c r="J121" s="234"/>
      <c r="K121" s="278"/>
      <c r="L121" s="278"/>
      <c r="T121" s="238"/>
    </row>
    <row r="122" spans="6:20" x14ac:dyDescent="0.2">
      <c r="F122" s="141" t="s">
        <v>189</v>
      </c>
      <c r="G122" s="10">
        <v>0</v>
      </c>
      <c r="H122" s="105">
        <v>50</v>
      </c>
      <c r="I122" s="233">
        <f t="shared" si="12"/>
        <v>0</v>
      </c>
      <c r="K122" s="278"/>
      <c r="L122" s="278"/>
      <c r="T122" s="238"/>
    </row>
    <row r="123" spans="6:20" x14ac:dyDescent="0.2">
      <c r="F123" s="141" t="s">
        <v>190</v>
      </c>
      <c r="G123" s="10">
        <v>0</v>
      </c>
      <c r="H123" s="105">
        <v>5</v>
      </c>
      <c r="I123" s="233">
        <f t="shared" si="12"/>
        <v>0</v>
      </c>
      <c r="K123" s="278"/>
      <c r="L123" s="278"/>
      <c r="T123" s="238"/>
    </row>
    <row r="124" spans="6:20" x14ac:dyDescent="0.2">
      <c r="F124" s="141" t="s">
        <v>260</v>
      </c>
      <c r="G124" s="10">
        <v>0</v>
      </c>
      <c r="H124" s="105">
        <v>5</v>
      </c>
      <c r="I124" s="233">
        <f t="shared" si="12"/>
        <v>0</v>
      </c>
      <c r="K124" s="278"/>
      <c r="L124" s="278"/>
      <c r="M124" s="234"/>
      <c r="T124" s="238"/>
    </row>
    <row r="125" spans="6:20" x14ac:dyDescent="0.2">
      <c r="F125" s="138" t="s">
        <v>37</v>
      </c>
      <c r="G125" s="215"/>
      <c r="H125" s="142"/>
      <c r="I125" s="35"/>
      <c r="K125" s="278"/>
      <c r="L125" s="278"/>
      <c r="M125" s="234"/>
      <c r="T125" s="238"/>
    </row>
    <row r="126" spans="6:20" x14ac:dyDescent="0.2">
      <c r="F126" s="141" t="s">
        <v>191</v>
      </c>
      <c r="G126" s="10">
        <v>0</v>
      </c>
      <c r="H126" s="105">
        <v>25</v>
      </c>
      <c r="I126" s="233">
        <f>IF(G126&gt;0.99,((H126*G126)+50),G126)</f>
        <v>0</v>
      </c>
      <c r="K126" s="278" t="s">
        <v>211</v>
      </c>
      <c r="L126" s="278"/>
      <c r="T126" s="238"/>
    </row>
    <row r="127" spans="6:20" x14ac:dyDescent="0.2">
      <c r="F127" s="141" t="s">
        <v>192</v>
      </c>
      <c r="G127" s="10">
        <v>0</v>
      </c>
      <c r="H127" s="105">
        <v>25</v>
      </c>
      <c r="I127" s="233">
        <f>IF(G127&gt;0.99,((H127*G127)+100),G127)</f>
        <v>0</v>
      </c>
      <c r="K127" s="278" t="s">
        <v>211</v>
      </c>
      <c r="L127" s="278"/>
      <c r="M127" s="234"/>
      <c r="T127" s="238"/>
    </row>
    <row r="128" spans="6:20" x14ac:dyDescent="0.2">
      <c r="F128" s="141" t="s">
        <v>194</v>
      </c>
      <c r="G128" s="10">
        <v>0</v>
      </c>
      <c r="H128" s="105">
        <v>20</v>
      </c>
      <c r="I128" s="233">
        <f>IF(G128&gt;0.99,((H128*G128)+50),G128)</f>
        <v>0</v>
      </c>
      <c r="J128" s="234"/>
      <c r="K128" s="278" t="s">
        <v>212</v>
      </c>
      <c r="L128" s="278"/>
      <c r="M128" s="234"/>
      <c r="T128" s="238"/>
    </row>
    <row r="129" spans="6:20" x14ac:dyDescent="0.2">
      <c r="F129" s="141" t="s">
        <v>195</v>
      </c>
      <c r="G129" s="10">
        <v>0</v>
      </c>
      <c r="H129" s="105">
        <v>20</v>
      </c>
      <c r="I129" s="233">
        <f>IF(G129&gt;0.99,((H129*G129)+100),G129)</f>
        <v>0</v>
      </c>
      <c r="J129" s="234"/>
      <c r="K129" s="278" t="s">
        <v>212</v>
      </c>
      <c r="L129" s="278"/>
      <c r="T129" s="238"/>
    </row>
    <row r="130" spans="6:20" x14ac:dyDescent="0.2">
      <c r="F130" s="141" t="s">
        <v>199</v>
      </c>
      <c r="G130" s="10">
        <v>0</v>
      </c>
      <c r="H130" s="105">
        <v>5</v>
      </c>
      <c r="I130" s="233">
        <f t="shared" si="12"/>
        <v>0</v>
      </c>
      <c r="K130" s="278"/>
      <c r="L130" s="278"/>
      <c r="M130" s="234"/>
      <c r="T130" s="238"/>
    </row>
    <row r="131" spans="6:20" x14ac:dyDescent="0.2">
      <c r="F131" s="141" t="s">
        <v>197</v>
      </c>
      <c r="G131" s="10">
        <v>0</v>
      </c>
      <c r="H131" s="105">
        <v>5</v>
      </c>
      <c r="I131" s="233">
        <f t="shared" si="12"/>
        <v>0</v>
      </c>
      <c r="K131" s="278"/>
      <c r="L131" s="278"/>
      <c r="M131" s="234"/>
      <c r="T131" s="238"/>
    </row>
    <row r="132" spans="6:20" x14ac:dyDescent="0.2">
      <c r="F132" s="141" t="s">
        <v>196</v>
      </c>
      <c r="G132" s="10">
        <v>0</v>
      </c>
      <c r="H132" s="105">
        <v>5</v>
      </c>
      <c r="I132" s="233">
        <f t="shared" si="12"/>
        <v>0</v>
      </c>
      <c r="K132" s="278"/>
      <c r="L132" s="278"/>
      <c r="M132" s="234"/>
      <c r="T132" s="238"/>
    </row>
    <row r="133" spans="6:20" x14ac:dyDescent="0.2">
      <c r="F133" s="138" t="s">
        <v>38</v>
      </c>
      <c r="G133" s="215"/>
      <c r="H133" s="142"/>
      <c r="I133" s="35"/>
      <c r="K133" s="278"/>
      <c r="L133" s="278"/>
      <c r="T133" s="238"/>
    </row>
    <row r="134" spans="6:20" x14ac:dyDescent="0.2">
      <c r="F134" s="106" t="s">
        <v>261</v>
      </c>
      <c r="G134" s="10">
        <v>0</v>
      </c>
      <c r="H134" s="105">
        <v>20</v>
      </c>
      <c r="I134" s="233">
        <f t="shared" si="12"/>
        <v>0</v>
      </c>
      <c r="K134" s="278"/>
      <c r="L134" s="278"/>
      <c r="T134" s="238"/>
    </row>
    <row r="135" spans="6:20" x14ac:dyDescent="0.2">
      <c r="F135" s="141" t="s">
        <v>334</v>
      </c>
      <c r="G135" s="10">
        <v>0</v>
      </c>
      <c r="H135" s="105">
        <v>75</v>
      </c>
      <c r="I135" s="233">
        <f t="shared" si="12"/>
        <v>0</v>
      </c>
      <c r="K135" s="278"/>
      <c r="L135" s="278"/>
      <c r="T135" s="238"/>
    </row>
    <row r="136" spans="6:20" x14ac:dyDescent="0.2">
      <c r="F136" s="141" t="s">
        <v>337</v>
      </c>
      <c r="G136" s="10">
        <v>0</v>
      </c>
      <c r="H136" s="105">
        <v>55</v>
      </c>
      <c r="I136" s="233">
        <f t="shared" si="12"/>
        <v>0</v>
      </c>
      <c r="K136" s="278"/>
      <c r="L136" s="278"/>
      <c r="M136" s="234"/>
      <c r="T136" s="238"/>
    </row>
    <row r="137" spans="6:20" x14ac:dyDescent="0.2">
      <c r="F137" s="141" t="s">
        <v>339</v>
      </c>
      <c r="G137" s="10">
        <v>0</v>
      </c>
      <c r="H137" s="105">
        <v>55</v>
      </c>
      <c r="I137" s="233">
        <f t="shared" si="12"/>
        <v>0</v>
      </c>
      <c r="K137" s="278"/>
      <c r="L137" s="278"/>
      <c r="M137" s="234"/>
      <c r="T137" s="238"/>
    </row>
    <row r="138" spans="6:20" x14ac:dyDescent="0.2">
      <c r="F138" s="141" t="s">
        <v>198</v>
      </c>
      <c r="G138" s="10">
        <v>0</v>
      </c>
      <c r="H138" s="105">
        <v>35</v>
      </c>
      <c r="I138" s="233">
        <f t="shared" si="12"/>
        <v>0</v>
      </c>
      <c r="K138" s="278"/>
      <c r="L138" s="278"/>
      <c r="T138" s="238"/>
    </row>
    <row r="139" spans="6:20" x14ac:dyDescent="0.2">
      <c r="F139" s="141" t="s">
        <v>262</v>
      </c>
      <c r="G139" s="10">
        <v>0</v>
      </c>
      <c r="H139" s="105">
        <v>15</v>
      </c>
      <c r="I139" s="233">
        <f t="shared" si="12"/>
        <v>0</v>
      </c>
      <c r="K139" s="278"/>
      <c r="L139" s="278"/>
      <c r="M139" s="234"/>
      <c r="T139" s="238"/>
    </row>
    <row r="140" spans="6:20" x14ac:dyDescent="0.2">
      <c r="F140" s="141" t="s">
        <v>200</v>
      </c>
      <c r="G140" s="10">
        <v>0</v>
      </c>
      <c r="H140" s="105">
        <v>10</v>
      </c>
      <c r="I140" s="233">
        <f t="shared" si="12"/>
        <v>0</v>
      </c>
      <c r="K140" s="278"/>
      <c r="L140" s="278"/>
      <c r="M140" s="234"/>
      <c r="T140" s="238"/>
    </row>
    <row r="141" spans="6:20" x14ac:dyDescent="0.2">
      <c r="F141" s="141" t="s">
        <v>263</v>
      </c>
      <c r="G141" s="10">
        <v>0</v>
      </c>
      <c r="H141" s="105">
        <v>30</v>
      </c>
      <c r="I141" s="233">
        <f t="shared" si="12"/>
        <v>0</v>
      </c>
      <c r="K141" s="278"/>
      <c r="L141" s="278"/>
      <c r="M141" s="234"/>
      <c r="T141" s="238"/>
    </row>
    <row r="142" spans="6:20" x14ac:dyDescent="0.2">
      <c r="F142" s="141" t="s">
        <v>201</v>
      </c>
      <c r="G142" s="10">
        <v>0</v>
      </c>
      <c r="H142" s="105">
        <v>35</v>
      </c>
      <c r="I142" s="233">
        <f t="shared" si="12"/>
        <v>0</v>
      </c>
      <c r="J142" s="234"/>
      <c r="K142" s="278"/>
      <c r="L142" s="278"/>
      <c r="M142" s="234"/>
      <c r="T142" s="238"/>
    </row>
    <row r="143" spans="6:20" x14ac:dyDescent="0.2">
      <c r="F143" s="141" t="s">
        <v>202</v>
      </c>
      <c r="G143" s="10">
        <v>0</v>
      </c>
      <c r="H143" s="105">
        <v>25</v>
      </c>
      <c r="I143" s="233">
        <f>IF(G143&gt;0.99,((H143*G143)+50),G143)</f>
        <v>0</v>
      </c>
      <c r="K143" s="278"/>
      <c r="L143" s="278"/>
      <c r="M143" s="234"/>
      <c r="T143" s="238"/>
    </row>
    <row r="144" spans="6:20" x14ac:dyDescent="0.2">
      <c r="F144" s="138" t="s">
        <v>36</v>
      </c>
      <c r="G144" s="215"/>
      <c r="H144" s="142"/>
      <c r="I144" s="35"/>
      <c r="K144" s="278"/>
      <c r="L144" s="278"/>
      <c r="M144" s="234"/>
      <c r="T144" s="238"/>
    </row>
    <row r="145" spans="6:20" x14ac:dyDescent="0.2">
      <c r="F145" s="106" t="s">
        <v>203</v>
      </c>
      <c r="G145" s="10">
        <v>0</v>
      </c>
      <c r="H145" s="105">
        <v>15</v>
      </c>
      <c r="I145" s="233">
        <f t="shared" ref="I145:I149" si="13">IF(G145&gt;0.99,((H145*G145)+0),G145)</f>
        <v>0</v>
      </c>
      <c r="K145" s="278"/>
      <c r="L145" s="278"/>
      <c r="M145" s="234"/>
      <c r="T145" s="238"/>
    </row>
    <row r="146" spans="6:20" x14ac:dyDescent="0.2">
      <c r="F146" s="141" t="s">
        <v>204</v>
      </c>
      <c r="G146" s="10">
        <v>0</v>
      </c>
      <c r="H146" s="105">
        <v>20</v>
      </c>
      <c r="I146" s="233">
        <f t="shared" si="13"/>
        <v>0</v>
      </c>
      <c r="K146" s="278"/>
      <c r="L146" s="278"/>
      <c r="M146" s="234"/>
      <c r="T146" s="238"/>
    </row>
    <row r="147" spans="6:20" x14ac:dyDescent="0.2">
      <c r="F147" s="141" t="s">
        <v>205</v>
      </c>
      <c r="G147" s="10">
        <v>0</v>
      </c>
      <c r="H147" s="105">
        <v>20</v>
      </c>
      <c r="I147" s="233">
        <f t="shared" si="13"/>
        <v>0</v>
      </c>
      <c r="K147" s="278"/>
      <c r="L147" s="278"/>
      <c r="M147" s="234"/>
      <c r="T147" s="238"/>
    </row>
    <row r="148" spans="6:20" x14ac:dyDescent="0.2">
      <c r="F148" s="141" t="s">
        <v>206</v>
      </c>
      <c r="G148" s="10">
        <v>0</v>
      </c>
      <c r="H148" s="105">
        <v>5</v>
      </c>
      <c r="I148" s="233">
        <f t="shared" si="13"/>
        <v>0</v>
      </c>
      <c r="K148" s="278"/>
      <c r="L148" s="278"/>
      <c r="M148" s="234"/>
      <c r="T148" s="238"/>
    </row>
    <row r="149" spans="6:20" x14ac:dyDescent="0.2">
      <c r="F149" s="141" t="s">
        <v>207</v>
      </c>
      <c r="G149" s="10">
        <v>0</v>
      </c>
      <c r="H149" s="105">
        <v>60</v>
      </c>
      <c r="I149" s="233">
        <f t="shared" si="13"/>
        <v>0</v>
      </c>
      <c r="K149" s="278"/>
      <c r="L149" s="278"/>
      <c r="M149" s="234"/>
      <c r="T149" s="238"/>
    </row>
    <row r="150" spans="6:20" x14ac:dyDescent="0.2">
      <c r="F150" s="138" t="s">
        <v>52</v>
      </c>
      <c r="G150" s="215"/>
      <c r="H150" s="142"/>
      <c r="I150" s="35"/>
      <c r="K150" s="278"/>
      <c r="L150" s="278"/>
      <c r="T150" s="238"/>
    </row>
    <row r="151" spans="6:20" x14ac:dyDescent="0.2">
      <c r="F151" s="106" t="s">
        <v>213</v>
      </c>
      <c r="G151" s="10">
        <v>0</v>
      </c>
      <c r="H151" s="144">
        <v>40</v>
      </c>
      <c r="I151" s="233">
        <f>IF(G151&gt;0.99,((H151*G151)+0),G151)</f>
        <v>0</v>
      </c>
      <c r="K151" s="278"/>
      <c r="L151" s="278"/>
      <c r="T151" s="238"/>
    </row>
    <row r="152" spans="6:20" x14ac:dyDescent="0.2">
      <c r="F152" s="106" t="s">
        <v>209</v>
      </c>
      <c r="G152" s="10">
        <v>0</v>
      </c>
      <c r="H152" s="6">
        <v>60</v>
      </c>
      <c r="I152" s="233">
        <f>G152*H152</f>
        <v>0</v>
      </c>
      <c r="J152" s="37"/>
      <c r="K152" s="278"/>
      <c r="L152" s="278"/>
      <c r="M152" s="234"/>
    </row>
    <row r="153" spans="6:20" ht="12" thickBot="1" x14ac:dyDescent="0.25">
      <c r="F153" s="106" t="s">
        <v>208</v>
      </c>
      <c r="G153" s="10">
        <v>0</v>
      </c>
      <c r="H153" s="144">
        <v>60</v>
      </c>
      <c r="I153" s="233">
        <f>IF(G153&gt;0.99,((H153*G153)+0),G153)</f>
        <v>0</v>
      </c>
      <c r="K153" s="278"/>
      <c r="L153" s="278"/>
      <c r="M153" s="234"/>
      <c r="T153" s="238"/>
    </row>
    <row r="154" spans="6:20" ht="12" thickBot="1" x14ac:dyDescent="0.25">
      <c r="F154" s="132" t="s">
        <v>74</v>
      </c>
      <c r="G154" s="145"/>
      <c r="H154" s="134"/>
      <c r="I154" s="36">
        <f>SUM(I59:I153)</f>
        <v>215</v>
      </c>
      <c r="J154" s="36">
        <f>SUM(J59:J153)</f>
        <v>170</v>
      </c>
      <c r="T154" s="238"/>
    </row>
    <row r="155" spans="6:20" ht="12" thickBot="1" x14ac:dyDescent="0.25">
      <c r="F155" s="103" t="s">
        <v>367</v>
      </c>
      <c r="G155" s="37"/>
      <c r="H155" s="37"/>
      <c r="I155" s="37"/>
      <c r="J155" s="37"/>
      <c r="T155" s="238"/>
    </row>
    <row r="156" spans="6:20" ht="12" thickBot="1" x14ac:dyDescent="0.25">
      <c r="F156" s="146" t="s">
        <v>222</v>
      </c>
      <c r="G156" s="147" t="s">
        <v>7</v>
      </c>
      <c r="H156" s="148" t="s">
        <v>5</v>
      </c>
      <c r="I156" s="38" t="s">
        <v>15</v>
      </c>
      <c r="T156" s="238"/>
    </row>
    <row r="157" spans="6:20" x14ac:dyDescent="0.2">
      <c r="F157" s="149" t="s">
        <v>59</v>
      </c>
      <c r="G157" s="216"/>
      <c r="H157" s="218"/>
      <c r="I157" s="39">
        <f t="shared" ref="I157:I170" si="14">G157*H157</f>
        <v>0</v>
      </c>
      <c r="T157" s="238"/>
    </row>
    <row r="158" spans="6:20" x14ac:dyDescent="0.2">
      <c r="F158" s="106" t="s">
        <v>77</v>
      </c>
      <c r="G158" s="10">
        <v>0</v>
      </c>
      <c r="H158" s="6">
        <v>50</v>
      </c>
      <c r="I158" s="34">
        <f t="shared" si="14"/>
        <v>0</v>
      </c>
      <c r="T158" s="238"/>
    </row>
    <row r="159" spans="6:20" x14ac:dyDescent="0.2">
      <c r="F159" s="106" t="s">
        <v>78</v>
      </c>
      <c r="G159" s="10">
        <v>0</v>
      </c>
      <c r="H159" s="6">
        <v>25</v>
      </c>
      <c r="I159" s="34">
        <f t="shared" si="14"/>
        <v>0</v>
      </c>
      <c r="T159" s="238"/>
    </row>
    <row r="160" spans="6:20" x14ac:dyDescent="0.2">
      <c r="F160" s="106" t="s">
        <v>60</v>
      </c>
      <c r="G160" s="10">
        <v>0</v>
      </c>
      <c r="H160" s="6">
        <v>35</v>
      </c>
      <c r="I160" s="34">
        <f t="shared" si="14"/>
        <v>0</v>
      </c>
      <c r="T160" s="238"/>
    </row>
    <row r="161" spans="6:20" x14ac:dyDescent="0.2">
      <c r="F161" s="106" t="s">
        <v>61</v>
      </c>
      <c r="G161" s="10">
        <v>0</v>
      </c>
      <c r="H161" s="6">
        <v>35</v>
      </c>
      <c r="I161" s="34">
        <f t="shared" si="14"/>
        <v>0</v>
      </c>
      <c r="T161" s="238"/>
    </row>
    <row r="162" spans="6:20" x14ac:dyDescent="0.2">
      <c r="F162" s="106" t="s">
        <v>269</v>
      </c>
      <c r="G162" s="10">
        <v>0</v>
      </c>
      <c r="H162" s="6">
        <v>25</v>
      </c>
      <c r="I162" s="233">
        <f t="shared" si="14"/>
        <v>0</v>
      </c>
      <c r="M162" s="234"/>
      <c r="T162" s="238"/>
    </row>
    <row r="163" spans="6:20" x14ac:dyDescent="0.2">
      <c r="F163" s="106" t="s">
        <v>264</v>
      </c>
      <c r="G163" s="10">
        <v>0</v>
      </c>
      <c r="H163" s="6">
        <v>25</v>
      </c>
      <c r="I163" s="34">
        <f t="shared" si="14"/>
        <v>0</v>
      </c>
      <c r="T163" s="238"/>
    </row>
    <row r="164" spans="6:20" x14ac:dyDescent="0.2">
      <c r="F164" s="106" t="s">
        <v>62</v>
      </c>
      <c r="G164" s="10">
        <v>0</v>
      </c>
      <c r="H164" s="6">
        <v>20</v>
      </c>
      <c r="I164" s="34">
        <f t="shared" si="14"/>
        <v>0</v>
      </c>
      <c r="T164" s="238"/>
    </row>
    <row r="165" spans="6:20" x14ac:dyDescent="0.2">
      <c r="F165" s="106" t="s">
        <v>265</v>
      </c>
      <c r="G165" s="10">
        <v>0</v>
      </c>
      <c r="H165" s="6">
        <v>30</v>
      </c>
      <c r="I165" s="233">
        <f t="shared" si="14"/>
        <v>0</v>
      </c>
      <c r="T165" s="238"/>
    </row>
    <row r="166" spans="6:20" x14ac:dyDescent="0.2">
      <c r="F166" s="106" t="s">
        <v>266</v>
      </c>
      <c r="G166" s="10">
        <v>0</v>
      </c>
      <c r="H166" s="6">
        <v>30</v>
      </c>
      <c r="I166" s="233">
        <f t="shared" si="14"/>
        <v>0</v>
      </c>
      <c r="M166" s="234"/>
      <c r="T166" s="238"/>
    </row>
    <row r="167" spans="6:20" x14ac:dyDescent="0.2">
      <c r="F167" s="106" t="s">
        <v>63</v>
      </c>
      <c r="G167" s="10">
        <v>0</v>
      </c>
      <c r="H167" s="6">
        <v>35</v>
      </c>
      <c r="I167" s="233">
        <f t="shared" si="14"/>
        <v>0</v>
      </c>
      <c r="T167" s="238"/>
    </row>
    <row r="168" spans="6:20" x14ac:dyDescent="0.2">
      <c r="F168" s="106" t="s">
        <v>281</v>
      </c>
      <c r="G168" s="10">
        <v>0</v>
      </c>
      <c r="H168" s="6">
        <v>55</v>
      </c>
      <c r="I168" s="34">
        <f t="shared" si="14"/>
        <v>0</v>
      </c>
      <c r="T168" s="238"/>
    </row>
    <row r="169" spans="6:20" x14ac:dyDescent="0.2">
      <c r="F169" s="106" t="s">
        <v>79</v>
      </c>
      <c r="G169" s="10">
        <v>0</v>
      </c>
      <c r="H169" s="6">
        <v>35</v>
      </c>
      <c r="I169" s="34">
        <f t="shared" si="14"/>
        <v>0</v>
      </c>
      <c r="T169" s="238"/>
    </row>
    <row r="170" spans="6:20" x14ac:dyDescent="0.2">
      <c r="F170" s="106" t="s">
        <v>80</v>
      </c>
      <c r="G170" s="10">
        <v>0</v>
      </c>
      <c r="H170" s="6">
        <v>35</v>
      </c>
      <c r="I170" s="34">
        <f t="shared" si="14"/>
        <v>0</v>
      </c>
      <c r="T170" s="238"/>
    </row>
    <row r="171" spans="6:20" x14ac:dyDescent="0.2">
      <c r="F171" s="106" t="s">
        <v>267</v>
      </c>
      <c r="G171" s="10">
        <v>0</v>
      </c>
      <c r="H171" s="6">
        <v>75</v>
      </c>
      <c r="I171" s="34">
        <f>G171*H171</f>
        <v>0</v>
      </c>
      <c r="T171" s="238"/>
    </row>
    <row r="172" spans="6:20" x14ac:dyDescent="0.2">
      <c r="F172" s="106" t="s">
        <v>268</v>
      </c>
      <c r="G172" s="10">
        <v>0</v>
      </c>
      <c r="H172" s="6">
        <v>50</v>
      </c>
      <c r="I172" s="233">
        <f>G172*H172</f>
        <v>0</v>
      </c>
      <c r="M172" s="234"/>
      <c r="T172" s="238"/>
    </row>
    <row r="173" spans="6:20" x14ac:dyDescent="0.2">
      <c r="F173" s="106" t="s">
        <v>214</v>
      </c>
      <c r="G173" s="10">
        <v>0</v>
      </c>
      <c r="H173" s="6">
        <v>35</v>
      </c>
      <c r="I173" s="34">
        <f>G173*H173</f>
        <v>0</v>
      </c>
      <c r="T173" s="238"/>
    </row>
    <row r="174" spans="6:20" ht="12" thickBot="1" x14ac:dyDescent="0.25">
      <c r="F174" s="106" t="s">
        <v>130</v>
      </c>
      <c r="G174" s="10">
        <v>0</v>
      </c>
      <c r="H174" s="6">
        <v>0</v>
      </c>
      <c r="I174" s="34">
        <f>G174*H174</f>
        <v>0</v>
      </c>
      <c r="T174" s="238"/>
    </row>
    <row r="175" spans="6:20" ht="12" thickBot="1" x14ac:dyDescent="0.25">
      <c r="F175" s="132" t="s">
        <v>75</v>
      </c>
      <c r="G175" s="133"/>
      <c r="H175" s="134"/>
      <c r="I175" s="36">
        <f>SUM(I157:I174)</f>
        <v>0</v>
      </c>
    </row>
    <row r="176" spans="6:20" ht="12" thickBot="1" x14ac:dyDescent="0.25">
      <c r="F176" s="113" t="s">
        <v>369</v>
      </c>
      <c r="G176" s="37"/>
      <c r="H176" s="37"/>
      <c r="I176" s="151"/>
      <c r="M176" s="37"/>
    </row>
    <row r="177" spans="2:15" ht="12" thickBot="1" x14ac:dyDescent="0.25">
      <c r="B177" s="81"/>
      <c r="F177" s="152" t="s">
        <v>370</v>
      </c>
      <c r="G177" s="153" t="s">
        <v>7</v>
      </c>
      <c r="H177" s="154" t="s">
        <v>219</v>
      </c>
      <c r="I177" s="155" t="s">
        <v>15</v>
      </c>
      <c r="J177" s="37"/>
      <c r="L177" s="81"/>
      <c r="M177" s="37"/>
    </row>
    <row r="178" spans="2:15" x14ac:dyDescent="0.2">
      <c r="F178" s="106" t="s">
        <v>311</v>
      </c>
      <c r="G178" s="10">
        <v>0</v>
      </c>
      <c r="H178" s="6">
        <v>40</v>
      </c>
      <c r="I178" s="233">
        <f t="shared" ref="I178:I190" si="15">G178*H178</f>
        <v>0</v>
      </c>
      <c r="K178" s="296"/>
      <c r="L178" s="296" t="s">
        <v>295</v>
      </c>
      <c r="M178" s="296" t="s">
        <v>300</v>
      </c>
      <c r="N178" s="297" t="s">
        <v>301</v>
      </c>
      <c r="O178" s="296" t="s">
        <v>314</v>
      </c>
    </row>
    <row r="179" spans="2:15" x14ac:dyDescent="0.2">
      <c r="F179" s="106" t="s">
        <v>324</v>
      </c>
      <c r="G179" s="10">
        <v>2</v>
      </c>
      <c r="H179" s="6">
        <v>45</v>
      </c>
      <c r="I179" s="313">
        <f t="shared" si="15"/>
        <v>90</v>
      </c>
      <c r="K179" s="296" t="s">
        <v>318</v>
      </c>
      <c r="L179" s="278" t="s">
        <v>319</v>
      </c>
      <c r="M179" s="278" t="s">
        <v>320</v>
      </c>
      <c r="N179" s="275" t="s">
        <v>304</v>
      </c>
      <c r="O179" s="278">
        <v>2</v>
      </c>
    </row>
    <row r="180" spans="2:15" x14ac:dyDescent="0.2">
      <c r="F180" s="106" t="s">
        <v>286</v>
      </c>
      <c r="G180" s="10">
        <v>0</v>
      </c>
      <c r="H180" s="6">
        <v>20</v>
      </c>
      <c r="I180" s="233">
        <f t="shared" si="15"/>
        <v>0</v>
      </c>
      <c r="K180" s="296" t="s">
        <v>307</v>
      </c>
      <c r="L180" s="278" t="s">
        <v>296</v>
      </c>
      <c r="M180" s="278" t="s">
        <v>304</v>
      </c>
      <c r="N180" s="275" t="s">
        <v>302</v>
      </c>
      <c r="O180" s="278">
        <v>2</v>
      </c>
    </row>
    <row r="181" spans="2:15" x14ac:dyDescent="0.2">
      <c r="F181" s="106" t="s">
        <v>340</v>
      </c>
      <c r="G181" s="10">
        <v>0</v>
      </c>
      <c r="H181" s="295">
        <v>75</v>
      </c>
      <c r="I181" s="233">
        <f>G181*H181</f>
        <v>0</v>
      </c>
      <c r="K181" s="296" t="s">
        <v>308</v>
      </c>
      <c r="L181" s="278" t="s">
        <v>297</v>
      </c>
      <c r="M181" s="278" t="s">
        <v>302</v>
      </c>
      <c r="N181" s="275" t="s">
        <v>312</v>
      </c>
      <c r="O181" s="278">
        <v>2</v>
      </c>
    </row>
    <row r="182" spans="2:15" x14ac:dyDescent="0.2">
      <c r="F182" s="106" t="s">
        <v>341</v>
      </c>
      <c r="G182" s="10">
        <v>0</v>
      </c>
      <c r="H182" s="295">
        <v>40</v>
      </c>
      <c r="I182" s="233">
        <f t="shared" si="15"/>
        <v>0</v>
      </c>
      <c r="K182" s="296" t="s">
        <v>309</v>
      </c>
      <c r="L182" s="278" t="s">
        <v>298</v>
      </c>
      <c r="M182" s="278" t="s">
        <v>312</v>
      </c>
      <c r="N182" s="275" t="s">
        <v>303</v>
      </c>
      <c r="O182" s="278">
        <v>2</v>
      </c>
    </row>
    <row r="183" spans="2:15" x14ac:dyDescent="0.2">
      <c r="F183" s="106" t="s">
        <v>342</v>
      </c>
      <c r="G183" s="10">
        <v>2</v>
      </c>
      <c r="H183" s="295">
        <v>100</v>
      </c>
      <c r="I183" s="313">
        <f t="shared" si="15"/>
        <v>200</v>
      </c>
      <c r="J183" s="52" t="s">
        <v>366</v>
      </c>
      <c r="K183" s="296" t="s">
        <v>317</v>
      </c>
      <c r="L183" s="278" t="s">
        <v>299</v>
      </c>
      <c r="M183" s="278" t="s">
        <v>303</v>
      </c>
      <c r="N183" s="275" t="s">
        <v>306</v>
      </c>
      <c r="O183" s="278">
        <v>2</v>
      </c>
    </row>
    <row r="184" spans="2:15" x14ac:dyDescent="0.2">
      <c r="F184" s="106" t="s">
        <v>333</v>
      </c>
      <c r="G184" s="10">
        <v>0</v>
      </c>
      <c r="H184" s="6">
        <v>45</v>
      </c>
      <c r="I184" s="233">
        <f>IF(G184&gt;0.99,((H184*G184)+50),G184)</f>
        <v>0</v>
      </c>
      <c r="K184" s="296" t="s">
        <v>310</v>
      </c>
      <c r="L184" s="278" t="s">
        <v>305</v>
      </c>
      <c r="M184" s="278" t="s">
        <v>306</v>
      </c>
      <c r="N184" s="275" t="s">
        <v>313</v>
      </c>
      <c r="O184" s="278">
        <v>2</v>
      </c>
    </row>
    <row r="185" spans="2:15" x14ac:dyDescent="0.2">
      <c r="F185" s="106" t="s">
        <v>325</v>
      </c>
      <c r="G185" s="10">
        <v>0</v>
      </c>
      <c r="H185" s="6">
        <v>55</v>
      </c>
      <c r="I185" s="233">
        <f t="shared" si="15"/>
        <v>0</v>
      </c>
      <c r="K185" s="296" t="s">
        <v>321</v>
      </c>
      <c r="L185" s="278" t="s">
        <v>322</v>
      </c>
      <c r="M185" s="278" t="s">
        <v>313</v>
      </c>
      <c r="N185" s="275" t="s">
        <v>323</v>
      </c>
      <c r="O185" s="278">
        <v>2</v>
      </c>
    </row>
    <row r="186" spans="2:15" x14ac:dyDescent="0.2">
      <c r="F186" s="106" t="s">
        <v>316</v>
      </c>
      <c r="G186" s="10">
        <v>0</v>
      </c>
      <c r="H186" s="295">
        <v>150</v>
      </c>
      <c r="I186" s="233">
        <f t="shared" si="15"/>
        <v>0</v>
      </c>
    </row>
    <row r="187" spans="2:15" x14ac:dyDescent="0.2">
      <c r="F187" s="106" t="s">
        <v>326</v>
      </c>
      <c r="G187" s="10">
        <v>2</v>
      </c>
      <c r="H187" s="6">
        <v>65</v>
      </c>
      <c r="I187" s="313">
        <f>G187*H187</f>
        <v>130</v>
      </c>
      <c r="J187" s="52" t="s">
        <v>366</v>
      </c>
    </row>
    <row r="188" spans="2:15" x14ac:dyDescent="0.2">
      <c r="F188" s="106" t="s">
        <v>327</v>
      </c>
      <c r="G188" s="10">
        <v>0</v>
      </c>
      <c r="H188" s="6">
        <v>45</v>
      </c>
      <c r="I188" s="233">
        <f>G188*H188</f>
        <v>0</v>
      </c>
      <c r="J188" s="37"/>
      <c r="M188" s="234"/>
    </row>
    <row r="189" spans="2:15" x14ac:dyDescent="0.2">
      <c r="F189" s="106" t="s">
        <v>282</v>
      </c>
      <c r="G189" s="10">
        <v>0</v>
      </c>
      <c r="H189" s="6">
        <v>35</v>
      </c>
      <c r="I189" s="233">
        <f>G189*H189</f>
        <v>0</v>
      </c>
      <c r="J189" s="37"/>
      <c r="M189" s="234"/>
    </row>
    <row r="190" spans="2:15" x14ac:dyDescent="0.2">
      <c r="F190" s="106" t="s">
        <v>328</v>
      </c>
      <c r="G190" s="10">
        <v>0</v>
      </c>
      <c r="H190" s="295">
        <v>120</v>
      </c>
      <c r="I190" s="233">
        <f t="shared" si="15"/>
        <v>0</v>
      </c>
      <c r="J190" s="37"/>
      <c r="M190" s="234"/>
    </row>
    <row r="191" spans="2:15" x14ac:dyDescent="0.2">
      <c r="F191" s="106" t="s">
        <v>329</v>
      </c>
      <c r="G191" s="10">
        <v>0</v>
      </c>
      <c r="H191" s="295">
        <v>100</v>
      </c>
      <c r="I191" s="233">
        <f t="shared" ref="I191" si="16">G191*H191</f>
        <v>0</v>
      </c>
      <c r="J191" s="37"/>
      <c r="M191" s="234"/>
    </row>
    <row r="192" spans="2:15" x14ac:dyDescent="0.2">
      <c r="F192" s="106" t="s">
        <v>338</v>
      </c>
      <c r="G192" s="10">
        <v>0</v>
      </c>
      <c r="H192" s="295">
        <v>225</v>
      </c>
      <c r="I192" s="233">
        <f t="shared" ref="I192:I193" si="17">G192*H192</f>
        <v>0</v>
      </c>
      <c r="J192" s="37"/>
      <c r="M192" s="234"/>
    </row>
    <row r="193" spans="6:13" x14ac:dyDescent="0.2">
      <c r="F193" s="106" t="s">
        <v>339</v>
      </c>
      <c r="G193" s="10">
        <v>0</v>
      </c>
      <c r="H193" s="6">
        <v>225</v>
      </c>
      <c r="I193" s="233">
        <f t="shared" si="17"/>
        <v>0</v>
      </c>
      <c r="J193" s="37"/>
      <c r="M193" s="234"/>
    </row>
    <row r="194" spans="6:13" x14ac:dyDescent="0.2">
      <c r="F194" s="106" t="s">
        <v>315</v>
      </c>
      <c r="G194" s="10">
        <v>0</v>
      </c>
      <c r="H194" s="6">
        <v>100</v>
      </c>
      <c r="I194" s="233">
        <f t="shared" ref="I194:I197" si="18">G194*H194</f>
        <v>0</v>
      </c>
      <c r="J194" s="37"/>
      <c r="M194" s="234"/>
    </row>
    <row r="195" spans="6:13" x14ac:dyDescent="0.2">
      <c r="F195" s="106" t="s">
        <v>330</v>
      </c>
      <c r="G195" s="10">
        <v>0</v>
      </c>
      <c r="H195" s="6">
        <v>100</v>
      </c>
      <c r="I195" s="233">
        <f t="shared" si="18"/>
        <v>0</v>
      </c>
      <c r="J195" s="37"/>
      <c r="M195" s="234"/>
    </row>
    <row r="196" spans="6:13" x14ac:dyDescent="0.2">
      <c r="F196" s="106" t="s">
        <v>331</v>
      </c>
      <c r="G196" s="10"/>
      <c r="H196" s="6"/>
      <c r="I196" s="233"/>
      <c r="J196" s="37"/>
      <c r="M196" s="234"/>
    </row>
    <row r="197" spans="6:13" ht="12" thickBot="1" x14ac:dyDescent="0.25">
      <c r="F197" s="106" t="s">
        <v>332</v>
      </c>
      <c r="G197" s="10">
        <v>0</v>
      </c>
      <c r="H197" s="6">
        <v>75</v>
      </c>
      <c r="I197" s="233">
        <f t="shared" si="18"/>
        <v>0</v>
      </c>
      <c r="J197" s="37"/>
    </row>
    <row r="198" spans="6:13" ht="12" thickBot="1" x14ac:dyDescent="0.25">
      <c r="F198" s="132" t="s">
        <v>82</v>
      </c>
      <c r="G198" s="133"/>
      <c r="H198" s="134"/>
      <c r="I198" s="36">
        <f>SUM(I178:I197)</f>
        <v>420</v>
      </c>
      <c r="J198" s="37"/>
    </row>
    <row r="199" spans="6:13" ht="12" thickBot="1" x14ac:dyDescent="0.25">
      <c r="J199" s="37"/>
    </row>
    <row r="200" spans="6:13" x14ac:dyDescent="0.2">
      <c r="F200" s="157" t="s">
        <v>131</v>
      </c>
      <c r="G200" s="158" t="s">
        <v>44</v>
      </c>
      <c r="H200" s="159" t="s">
        <v>125</v>
      </c>
      <c r="I200" s="160" t="s">
        <v>14</v>
      </c>
    </row>
    <row r="201" spans="6:13" x14ac:dyDescent="0.2">
      <c r="F201" s="106"/>
      <c r="G201" s="10">
        <v>0</v>
      </c>
      <c r="H201" s="13">
        <v>1.1499999999999999</v>
      </c>
      <c r="I201" s="7">
        <f>G201*H201</f>
        <v>0</v>
      </c>
      <c r="J201" s="47"/>
      <c r="K201" s="314">
        <f>I45+I48+I49+I50+I51+I52+I179+I183+I187</f>
        <v>585</v>
      </c>
      <c r="L201" s="37">
        <v>164</v>
      </c>
      <c r="M201" s="234">
        <f>K201-L201</f>
        <v>421</v>
      </c>
    </row>
    <row r="202" spans="6:13" ht="12" thickBot="1" x14ac:dyDescent="0.25">
      <c r="F202" s="106"/>
      <c r="G202" s="10"/>
      <c r="H202" s="13">
        <v>1.2</v>
      </c>
      <c r="I202" s="7">
        <f t="shared" ref="I202" si="19">G202*H202</f>
        <v>0</v>
      </c>
      <c r="J202" s="47"/>
      <c r="K202" s="314">
        <f>K201*1.2</f>
        <v>702</v>
      </c>
      <c r="M202" s="314">
        <f>M201*1.2</f>
        <v>505.2</v>
      </c>
    </row>
    <row r="203" spans="6:13" ht="12" thickBot="1" x14ac:dyDescent="0.25">
      <c r="F203" s="132" t="s">
        <v>81</v>
      </c>
      <c r="G203" s="133">
        <f>SUM(G201:G202)</f>
        <v>0</v>
      </c>
      <c r="H203" s="134"/>
      <c r="I203" s="40">
        <f>SUM(I201:I202)</f>
        <v>0</v>
      </c>
      <c r="J203" s="47"/>
    </row>
    <row r="204" spans="6:13" ht="12" thickBot="1" x14ac:dyDescent="0.25">
      <c r="F204" s="93"/>
      <c r="G204" s="37"/>
      <c r="H204" s="37"/>
      <c r="J204" s="47"/>
    </row>
    <row r="205" spans="6:13" ht="12" thickBot="1" x14ac:dyDescent="0.25">
      <c r="F205" s="161" t="s">
        <v>12</v>
      </c>
      <c r="G205" s="162" t="s">
        <v>20</v>
      </c>
      <c r="H205" s="162" t="s">
        <v>6</v>
      </c>
      <c r="I205" s="163" t="s">
        <v>5</v>
      </c>
      <c r="J205" s="47"/>
    </row>
    <row r="206" spans="6:13" ht="12" thickBot="1" x14ac:dyDescent="0.25">
      <c r="F206" s="164" t="s">
        <v>19</v>
      </c>
      <c r="G206" s="14">
        <v>0</v>
      </c>
      <c r="H206" s="165"/>
      <c r="I206" s="242">
        <f>N21/112*100*(1-G206)</f>
        <v>3601.6785714285716</v>
      </c>
      <c r="J206" s="47"/>
    </row>
    <row r="207" spans="6:13" ht="12" thickBot="1" x14ac:dyDescent="0.25">
      <c r="F207" s="166" t="s">
        <v>28</v>
      </c>
      <c r="G207" s="167"/>
      <c r="H207" s="168"/>
      <c r="I207" s="30">
        <f>N21/1.12*0.12</f>
        <v>432.20142857142849</v>
      </c>
      <c r="J207" s="241">
        <f>N21/112*100*G206</f>
        <v>0</v>
      </c>
    </row>
    <row r="208" spans="6:13" ht="12" thickBot="1" x14ac:dyDescent="0.25">
      <c r="F208" s="169" t="s">
        <v>29</v>
      </c>
      <c r="G208" s="170"/>
      <c r="H208" s="171"/>
      <c r="I208" s="243">
        <f>I206+I207</f>
        <v>4033.88</v>
      </c>
      <c r="J208" s="37"/>
      <c r="K208" s="37" t="s">
        <v>277</v>
      </c>
    </row>
    <row r="209" spans="6:13" ht="12" thickBot="1" x14ac:dyDescent="0.25">
      <c r="F209" s="173" t="s">
        <v>16</v>
      </c>
      <c r="G209" s="217">
        <v>1.1499999999999999</v>
      </c>
      <c r="H209" s="175"/>
      <c r="I209" s="41">
        <f>(I40+(tk*1.1)/120)*G209</f>
        <v>1924.6783333333333</v>
      </c>
      <c r="J209" s="172">
        <f>I208/I223</f>
        <v>0.52871391649643817</v>
      </c>
    </row>
    <row r="210" spans="6:13" ht="12" thickBot="1" x14ac:dyDescent="0.25">
      <c r="F210" s="177" t="s">
        <v>71</v>
      </c>
      <c r="G210" s="217">
        <v>1.1000000000000001</v>
      </c>
      <c r="H210" s="175"/>
      <c r="I210" s="41">
        <f>I55*G210</f>
        <v>348.70000000000005</v>
      </c>
      <c r="J210" s="176"/>
    </row>
    <row r="211" spans="6:13" ht="12" thickBot="1" x14ac:dyDescent="0.25">
      <c r="F211" s="177" t="s">
        <v>235</v>
      </c>
      <c r="G211" s="217">
        <v>1.1000000000000001</v>
      </c>
      <c r="H211" s="175"/>
      <c r="I211" s="41">
        <f>I154*G211</f>
        <v>236.50000000000003</v>
      </c>
      <c r="J211" s="47"/>
    </row>
    <row r="212" spans="6:13" ht="12" thickBot="1" x14ac:dyDescent="0.25">
      <c r="F212" s="177" t="s">
        <v>117</v>
      </c>
      <c r="G212" s="217">
        <v>1.1000000000000001</v>
      </c>
      <c r="H212" s="175"/>
      <c r="I212" s="41">
        <f>I175*G212</f>
        <v>0</v>
      </c>
      <c r="J212" s="47"/>
      <c r="M212" s="234"/>
    </row>
    <row r="213" spans="6:13" ht="12" thickBot="1" x14ac:dyDescent="0.25">
      <c r="F213" s="177" t="s">
        <v>221</v>
      </c>
      <c r="G213" s="217">
        <v>1.2</v>
      </c>
      <c r="H213" s="175"/>
      <c r="I213" s="41">
        <f>I198*G213</f>
        <v>504</v>
      </c>
      <c r="J213" s="47"/>
    </row>
    <row r="214" spans="6:13" ht="12" hidden="1" thickBot="1" x14ac:dyDescent="0.25">
      <c r="F214" s="178" t="s">
        <v>27</v>
      </c>
      <c r="G214" s="167"/>
      <c r="H214" s="179"/>
      <c r="I214" s="42">
        <f>(I209+I211+I210+I212+I213)/0.99</f>
        <v>3044.3215488215487</v>
      </c>
      <c r="J214" s="47"/>
    </row>
    <row r="215" spans="6:13" ht="12" thickBot="1" x14ac:dyDescent="0.25">
      <c r="F215" s="180" t="s">
        <v>31</v>
      </c>
      <c r="G215" s="174"/>
      <c r="H215" s="175"/>
      <c r="I215" s="42">
        <f>(((I214)*1.12))</f>
        <v>3409.6401346801349</v>
      </c>
      <c r="J215" s="47"/>
      <c r="K215" s="37" t="s">
        <v>275</v>
      </c>
    </row>
    <row r="216" spans="6:13" ht="12" thickBot="1" x14ac:dyDescent="0.25">
      <c r="F216" s="180" t="s">
        <v>30</v>
      </c>
      <c r="G216" s="174"/>
      <c r="H216" s="175"/>
      <c r="I216" s="223">
        <f>I222*0.015</f>
        <v>111.65280202020202</v>
      </c>
      <c r="J216" s="55" t="s">
        <v>371</v>
      </c>
    </row>
    <row r="217" spans="6:13" ht="12" thickBot="1" x14ac:dyDescent="0.25">
      <c r="F217" s="180" t="s">
        <v>132</v>
      </c>
      <c r="G217" s="174"/>
      <c r="H217" s="134"/>
      <c r="I217" s="30">
        <f>I222*0.01</f>
        <v>74.43520134680135</v>
      </c>
      <c r="J217" s="47"/>
      <c r="K217" s="37" t="s">
        <v>276</v>
      </c>
    </row>
    <row r="218" spans="6:13" ht="12" thickBot="1" x14ac:dyDescent="0.25">
      <c r="F218" s="132" t="s">
        <v>41</v>
      </c>
      <c r="G218" s="174"/>
      <c r="H218" s="181"/>
      <c r="I218" s="182"/>
      <c r="J218" s="47"/>
    </row>
    <row r="219" spans="6:13" ht="12" thickBot="1" x14ac:dyDescent="0.25">
      <c r="F219" s="183" t="s">
        <v>43</v>
      </c>
      <c r="G219" s="184"/>
      <c r="H219" s="185"/>
      <c r="I219" s="186">
        <f>I218*1.12</f>
        <v>0</v>
      </c>
      <c r="J219" s="55"/>
    </row>
    <row r="220" spans="6:13" ht="12" thickBot="1" x14ac:dyDescent="0.25">
      <c r="F220" s="187" t="s">
        <v>84</v>
      </c>
      <c r="G220" s="170"/>
      <c r="H220" s="188"/>
      <c r="I220" s="243">
        <f>I215+I216+I219+I217</f>
        <v>3595.7281380471386</v>
      </c>
      <c r="J220" s="55"/>
    </row>
    <row r="221" spans="6:13" ht="12" thickBot="1" x14ac:dyDescent="0.25">
      <c r="F221" s="187" t="s">
        <v>45</v>
      </c>
      <c r="G221" s="170"/>
      <c r="H221" s="188"/>
      <c r="I221" s="43">
        <f>I203</f>
        <v>0</v>
      </c>
      <c r="J221" s="172">
        <f>I220/I223</f>
        <v>0.47128608350356183</v>
      </c>
    </row>
    <row r="222" spans="6:13" ht="12" hidden="1" thickBot="1" x14ac:dyDescent="0.25">
      <c r="F222" s="132"/>
      <c r="G222" s="174"/>
      <c r="H222" s="181"/>
      <c r="I222" s="190">
        <f>(I208+I215+I221+I219)</f>
        <v>7443.520134680135</v>
      </c>
      <c r="J222" s="55"/>
      <c r="K222" s="189" t="s">
        <v>126</v>
      </c>
    </row>
    <row r="223" spans="6:13" ht="12" thickBot="1" x14ac:dyDescent="0.25">
      <c r="F223" s="191" t="s">
        <v>141</v>
      </c>
      <c r="G223" s="192"/>
      <c r="H223" s="193"/>
      <c r="I223" s="44">
        <f>(I208+I220)</f>
        <v>7629.6081380471387</v>
      </c>
      <c r="J223" s="55"/>
    </row>
    <row r="224" spans="6:13" ht="12" thickBot="1" x14ac:dyDescent="0.25">
      <c r="F224" s="191" t="s">
        <v>139</v>
      </c>
      <c r="G224" s="192"/>
      <c r="H224" s="193"/>
      <c r="I224" s="44">
        <f>(I208+I220+I221)</f>
        <v>7629.6081380471387</v>
      </c>
      <c r="K224" s="143"/>
    </row>
    <row r="225" spans="6:15" ht="12" thickBot="1" x14ac:dyDescent="0.25">
      <c r="F225" s="132" t="s">
        <v>335</v>
      </c>
      <c r="G225" s="23"/>
      <c r="H225" s="195"/>
      <c r="I225" s="45">
        <f>(I223)/pax</f>
        <v>3814.8040690235694</v>
      </c>
    </row>
    <row r="226" spans="6:15" ht="12" thickBot="1" x14ac:dyDescent="0.25">
      <c r="F226" s="299" t="s">
        <v>336</v>
      </c>
      <c r="G226" s="197"/>
      <c r="H226" s="198"/>
      <c r="I226" s="45">
        <f>(I224)/pax</f>
        <v>3814.8040690235694</v>
      </c>
      <c r="M226" s="234"/>
    </row>
    <row r="227" spans="6:15" ht="12" thickBot="1" x14ac:dyDescent="0.25">
      <c r="F227" s="196" t="s">
        <v>8</v>
      </c>
      <c r="G227" s="197"/>
      <c r="H227" s="198"/>
      <c r="I227" s="30">
        <f>(I223+I221)/td</f>
        <v>693.60073982246718</v>
      </c>
      <c r="J227" s="37"/>
    </row>
    <row r="228" spans="6:15" ht="12" thickBot="1" x14ac:dyDescent="0.25">
      <c r="F228" s="37"/>
      <c r="G228" s="37"/>
      <c r="H228" s="37"/>
      <c r="J228" s="47"/>
    </row>
    <row r="229" spans="6:15" ht="12" thickBot="1" x14ac:dyDescent="0.25">
      <c r="F229" s="199" t="s">
        <v>13</v>
      </c>
      <c r="G229" s="200" t="s">
        <v>4</v>
      </c>
      <c r="H229" s="284" t="s">
        <v>6</v>
      </c>
      <c r="I229" s="290" t="s">
        <v>5</v>
      </c>
      <c r="J229" s="47"/>
    </row>
    <row r="230" spans="6:15" ht="12" thickBot="1" x14ac:dyDescent="0.25">
      <c r="F230" s="194" t="s">
        <v>9</v>
      </c>
      <c r="G230" s="201"/>
      <c r="H230" s="181"/>
      <c r="I230" s="30">
        <f>(I223+I221)/112*100</f>
        <v>6812.1501232563742</v>
      </c>
      <c r="J230" s="47"/>
    </row>
    <row r="231" spans="6:15" x14ac:dyDescent="0.2">
      <c r="F231" s="202" t="s">
        <v>24</v>
      </c>
      <c r="G231" s="203"/>
      <c r="H231" s="285"/>
      <c r="I231" s="242"/>
      <c r="J231" s="47"/>
      <c r="K231" s="204"/>
    </row>
    <row r="232" spans="6:15" x14ac:dyDescent="0.2">
      <c r="F232" s="106" t="s">
        <v>34</v>
      </c>
      <c r="G232" s="205"/>
      <c r="H232" s="286"/>
      <c r="I232" s="291">
        <f>L21/112*100</f>
        <v>2959.8214285714284</v>
      </c>
      <c r="J232" s="47"/>
      <c r="K232" s="316" t="s">
        <v>372</v>
      </c>
    </row>
    <row r="233" spans="6:15" x14ac:dyDescent="0.2">
      <c r="F233" s="106" t="s">
        <v>35</v>
      </c>
      <c r="G233" s="205"/>
      <c r="H233" s="286"/>
      <c r="I233" s="291">
        <f>+J21</f>
        <v>0</v>
      </c>
      <c r="J233" s="47"/>
      <c r="K233" s="37" t="s">
        <v>138</v>
      </c>
    </row>
    <row r="234" spans="6:15" x14ac:dyDescent="0.2">
      <c r="F234" s="106" t="s">
        <v>23</v>
      </c>
      <c r="G234" s="205"/>
      <c r="H234" s="286"/>
      <c r="I234" s="291">
        <f>I40</f>
        <v>1656.4</v>
      </c>
      <c r="J234" s="47"/>
      <c r="K234" s="119" t="s">
        <v>148</v>
      </c>
      <c r="M234" s="37"/>
    </row>
    <row r="235" spans="6:15" ht="12" thickBot="1" x14ac:dyDescent="0.25">
      <c r="F235" s="106" t="s">
        <v>22</v>
      </c>
      <c r="G235" s="205"/>
      <c r="H235" s="286"/>
      <c r="I235" s="291">
        <f>I55</f>
        <v>317</v>
      </c>
      <c r="J235" s="47"/>
      <c r="K235" s="260" t="s">
        <v>278</v>
      </c>
      <c r="L235" s="261"/>
      <c r="M235" s="262"/>
      <c r="N235" s="261"/>
      <c r="O235" s="261"/>
    </row>
    <row r="236" spans="6:15" ht="13.5" thickBot="1" x14ac:dyDescent="0.25">
      <c r="F236" s="106" t="s">
        <v>69</v>
      </c>
      <c r="G236" s="205"/>
      <c r="H236" s="286"/>
      <c r="I236" s="291">
        <f>I154</f>
        <v>215</v>
      </c>
      <c r="J236" s="47"/>
      <c r="K236" s="281" t="s">
        <v>287</v>
      </c>
      <c r="L236" s="281" t="s">
        <v>288</v>
      </c>
      <c r="M236" s="281" t="s">
        <v>293</v>
      </c>
      <c r="N236" s="281" t="s">
        <v>294</v>
      </c>
      <c r="O236" s="281" t="s">
        <v>289</v>
      </c>
    </row>
    <row r="237" spans="6:15" ht="12.75" thickBot="1" x14ac:dyDescent="0.25">
      <c r="F237" s="106" t="s">
        <v>68</v>
      </c>
      <c r="G237" s="205"/>
      <c r="H237" s="286"/>
      <c r="I237" s="291">
        <f>I175</f>
        <v>0</v>
      </c>
      <c r="J237" s="47"/>
      <c r="K237" s="282" t="s">
        <v>101</v>
      </c>
      <c r="L237" s="283">
        <v>0.15</v>
      </c>
      <c r="M237" s="298">
        <v>0.16</v>
      </c>
      <c r="N237" s="283">
        <v>0.17</v>
      </c>
      <c r="O237" s="283">
        <v>0.18</v>
      </c>
    </row>
    <row r="238" spans="6:15" ht="12.75" thickBot="1" x14ac:dyDescent="0.25">
      <c r="F238" s="106" t="s">
        <v>30</v>
      </c>
      <c r="G238" s="205"/>
      <c r="H238" s="286"/>
      <c r="I238" s="291">
        <f>+I216</f>
        <v>111.65280202020202</v>
      </c>
      <c r="J238" s="47"/>
      <c r="K238" s="282" t="s">
        <v>290</v>
      </c>
      <c r="L238" s="283">
        <v>0.16</v>
      </c>
      <c r="M238" s="298">
        <v>0.17</v>
      </c>
      <c r="N238" s="283">
        <v>0.18</v>
      </c>
      <c r="O238" s="283">
        <v>0.19</v>
      </c>
    </row>
    <row r="239" spans="6:15" ht="12.75" thickBot="1" x14ac:dyDescent="0.25">
      <c r="F239" s="106" t="s">
        <v>133</v>
      </c>
      <c r="G239" s="205"/>
      <c r="H239" s="286"/>
      <c r="I239" s="291">
        <f>I217</f>
        <v>74.43520134680135</v>
      </c>
      <c r="J239" s="47"/>
      <c r="K239" s="282" t="s">
        <v>291</v>
      </c>
      <c r="L239" s="283">
        <v>0.17</v>
      </c>
      <c r="M239" s="298">
        <v>0.18</v>
      </c>
      <c r="N239" s="283">
        <v>0.19</v>
      </c>
      <c r="O239" s="283">
        <v>0.2</v>
      </c>
    </row>
    <row r="240" spans="6:15" ht="12.75" thickBot="1" x14ac:dyDescent="0.25">
      <c r="F240" s="106" t="s">
        <v>85</v>
      </c>
      <c r="G240" s="205"/>
      <c r="H240" s="286"/>
      <c r="I240" s="291">
        <f>I198/1.4</f>
        <v>300</v>
      </c>
      <c r="J240" s="37"/>
      <c r="K240" s="282" t="s">
        <v>292</v>
      </c>
      <c r="L240" s="283">
        <v>0.18</v>
      </c>
      <c r="M240" s="298">
        <v>0.19</v>
      </c>
      <c r="N240" s="283">
        <v>0.2</v>
      </c>
      <c r="O240" s="283">
        <v>0.2</v>
      </c>
    </row>
    <row r="241" spans="6:15" x14ac:dyDescent="0.2">
      <c r="F241" s="106" t="s">
        <v>46</v>
      </c>
      <c r="G241" s="205"/>
      <c r="H241" s="286"/>
      <c r="I241" s="291">
        <f>G203/1.12</f>
        <v>0</v>
      </c>
      <c r="J241" s="47"/>
    </row>
    <row r="242" spans="6:15" x14ac:dyDescent="0.2">
      <c r="F242" s="106" t="s">
        <v>42</v>
      </c>
      <c r="G242" s="205"/>
      <c r="H242" s="286"/>
      <c r="I242" s="291">
        <f>I218</f>
        <v>0</v>
      </c>
      <c r="J242" s="47"/>
      <c r="K242" s="317" t="s">
        <v>373</v>
      </c>
      <c r="M242" s="234"/>
    </row>
    <row r="243" spans="6:15" x14ac:dyDescent="0.2">
      <c r="F243" s="106" t="s">
        <v>25</v>
      </c>
      <c r="G243" s="205"/>
      <c r="H243" s="286"/>
      <c r="I243" s="291">
        <f>SUM(I232:I242)</f>
        <v>5634.3094319384327</v>
      </c>
      <c r="J243" s="47"/>
      <c r="K243" s="37" t="s">
        <v>138</v>
      </c>
      <c r="M243" s="234"/>
    </row>
    <row r="244" spans="6:15" x14ac:dyDescent="0.2">
      <c r="F244" s="149" t="s">
        <v>150</v>
      </c>
      <c r="G244" s="206"/>
      <c r="H244" s="287"/>
      <c r="I244" s="292">
        <f>I230-I243</f>
        <v>1177.8406913179415</v>
      </c>
      <c r="J244" s="47"/>
      <c r="K244" s="119" t="s">
        <v>148</v>
      </c>
      <c r="M244" s="37"/>
    </row>
    <row r="245" spans="6:15" ht="12" thickBot="1" x14ac:dyDescent="0.25">
      <c r="F245" s="207" t="s">
        <v>151</v>
      </c>
      <c r="G245" s="208"/>
      <c r="H245" s="288"/>
      <c r="I245" s="293">
        <f>I244/pax</f>
        <v>588.92034565897075</v>
      </c>
      <c r="J245" s="47"/>
      <c r="K245" s="260" t="s">
        <v>278</v>
      </c>
      <c r="L245" s="261"/>
      <c r="M245" s="262"/>
      <c r="N245" s="261"/>
      <c r="O245" s="261"/>
    </row>
    <row r="246" spans="6:15" ht="13.5" thickBot="1" x14ac:dyDescent="0.25">
      <c r="F246" s="209" t="s">
        <v>149</v>
      </c>
      <c r="G246" s="210"/>
      <c r="H246" s="289"/>
      <c r="I246" s="294">
        <f>I244/I230</f>
        <v>0.17290292638984076</v>
      </c>
      <c r="J246" s="47"/>
      <c r="K246" s="281" t="s">
        <v>287</v>
      </c>
      <c r="L246" s="281" t="s">
        <v>288</v>
      </c>
      <c r="M246" s="281" t="s">
        <v>293</v>
      </c>
      <c r="N246" s="281" t="s">
        <v>294</v>
      </c>
      <c r="O246" s="281" t="s">
        <v>289</v>
      </c>
    </row>
    <row r="247" spans="6:15" ht="12.75" thickBot="1" x14ac:dyDescent="0.25">
      <c r="J247" s="37"/>
      <c r="K247" s="282" t="s">
        <v>101</v>
      </c>
      <c r="L247" s="283">
        <v>0.15</v>
      </c>
      <c r="M247" s="298">
        <v>0.16</v>
      </c>
      <c r="N247" s="283">
        <v>0.17</v>
      </c>
      <c r="O247" s="283">
        <v>0.18</v>
      </c>
    </row>
    <row r="248" spans="6:15" ht="12.75" thickBot="1" x14ac:dyDescent="0.25">
      <c r="F248" s="228" t="s">
        <v>140</v>
      </c>
      <c r="G248" s="229" t="s">
        <v>83</v>
      </c>
      <c r="H248" s="230"/>
      <c r="I248" s="231" t="s">
        <v>15</v>
      </c>
      <c r="K248" s="282" t="s">
        <v>290</v>
      </c>
      <c r="L248" s="283">
        <v>0.16</v>
      </c>
      <c r="M248" s="298">
        <v>0.17</v>
      </c>
      <c r="N248" s="283">
        <v>0.18</v>
      </c>
      <c r="O248" s="283">
        <v>0.19</v>
      </c>
    </row>
    <row r="249" spans="6:15" ht="12.75" thickBot="1" x14ac:dyDescent="0.25">
      <c r="F249" s="149" t="s">
        <v>137</v>
      </c>
      <c r="G249" s="156"/>
      <c r="H249" s="150"/>
      <c r="I249" s="34">
        <v>0</v>
      </c>
      <c r="K249" s="282" t="s">
        <v>291</v>
      </c>
      <c r="L249" s="283">
        <v>0.17</v>
      </c>
      <c r="M249" s="298">
        <v>0.18</v>
      </c>
      <c r="N249" s="283">
        <v>0.19</v>
      </c>
      <c r="O249" s="283">
        <v>0.2</v>
      </c>
    </row>
    <row r="250" spans="6:15" ht="12.75" thickBot="1" x14ac:dyDescent="0.25">
      <c r="F250" s="106" t="s">
        <v>272</v>
      </c>
      <c r="G250" s="10">
        <v>75</v>
      </c>
      <c r="H250" s="6">
        <v>1</v>
      </c>
      <c r="I250" s="34">
        <f>G250*H250</f>
        <v>75</v>
      </c>
      <c r="K250" s="282" t="s">
        <v>292</v>
      </c>
      <c r="L250" s="283">
        <v>0.18</v>
      </c>
      <c r="M250" s="298">
        <v>0.19</v>
      </c>
      <c r="N250" s="283">
        <v>0.2</v>
      </c>
      <c r="O250" s="283">
        <v>0.2</v>
      </c>
    </row>
    <row r="251" spans="6:15" x14ac:dyDescent="0.2">
      <c r="F251" s="106" t="s">
        <v>270</v>
      </c>
      <c r="G251" s="10">
        <v>0</v>
      </c>
      <c r="H251" s="6">
        <v>0</v>
      </c>
      <c r="I251" s="233">
        <f>G251*H251</f>
        <v>0</v>
      </c>
    </row>
    <row r="252" spans="6:15" x14ac:dyDescent="0.2">
      <c r="F252" s="106" t="s">
        <v>271</v>
      </c>
      <c r="G252" s="10">
        <v>0</v>
      </c>
      <c r="H252" s="6">
        <v>0</v>
      </c>
      <c r="I252" s="233">
        <f>G252*H252</f>
        <v>0</v>
      </c>
    </row>
    <row r="253" spans="6:15" x14ac:dyDescent="0.2">
      <c r="F253" s="106" t="s">
        <v>273</v>
      </c>
      <c r="G253" s="10">
        <v>0</v>
      </c>
      <c r="H253" s="6">
        <v>0</v>
      </c>
      <c r="I253" s="233">
        <f>G253*H253</f>
        <v>0</v>
      </c>
    </row>
    <row r="254" spans="6:15" ht="12" thickBot="1" x14ac:dyDescent="0.25">
      <c r="F254" s="106" t="s">
        <v>274</v>
      </c>
      <c r="G254" s="10">
        <v>0</v>
      </c>
      <c r="H254" s="6">
        <v>0</v>
      </c>
      <c r="I254" s="233">
        <f>G254*H254</f>
        <v>0</v>
      </c>
    </row>
    <row r="255" spans="6:15" ht="12" thickBot="1" x14ac:dyDescent="0.25">
      <c r="F255" s="132" t="s">
        <v>140</v>
      </c>
      <c r="G255" s="133"/>
      <c r="H255" s="134"/>
      <c r="I255" s="36">
        <f>SUM(I249:I254)</f>
        <v>75</v>
      </c>
    </row>
    <row r="256" spans="6:15" x14ac:dyDescent="0.2">
      <c r="F256" s="37"/>
      <c r="G256" s="37"/>
      <c r="H256" s="37"/>
      <c r="I256" s="37"/>
    </row>
    <row r="257" spans="6:10" ht="12" thickBot="1" x14ac:dyDescent="0.25">
      <c r="F257" s="55" t="s">
        <v>154</v>
      </c>
    </row>
    <row r="258" spans="6:10" ht="12" thickBot="1" x14ac:dyDescent="0.25">
      <c r="F258" s="132" t="s">
        <v>152</v>
      </c>
      <c r="G258" s="201"/>
      <c r="H258" s="201"/>
      <c r="I258" s="236">
        <f>I244-I255</f>
        <v>1102.8406913179415</v>
      </c>
      <c r="J258" s="47"/>
    </row>
    <row r="259" spans="6:10" ht="12" thickBot="1" x14ac:dyDescent="0.25">
      <c r="F259" s="132" t="s">
        <v>153</v>
      </c>
      <c r="G259" s="201"/>
      <c r="H259" s="201"/>
      <c r="I259" s="245">
        <f>I258/I230</f>
        <v>0.16189318663910429</v>
      </c>
    </row>
    <row r="260" spans="6:10" ht="12" thickBot="1" x14ac:dyDescent="0.25">
      <c r="F260" s="37"/>
      <c r="G260" s="37"/>
      <c r="H260" s="37"/>
      <c r="I260" s="37"/>
    </row>
    <row r="261" spans="6:10" ht="12" thickBot="1" x14ac:dyDescent="0.25">
      <c r="F261" s="246" t="s">
        <v>280</v>
      </c>
      <c r="G261" s="247" t="s">
        <v>83</v>
      </c>
      <c r="H261" s="248"/>
      <c r="I261" s="249" t="s">
        <v>15</v>
      </c>
    </row>
    <row r="262" spans="6:10" ht="12" thickBot="1" x14ac:dyDescent="0.25">
      <c r="F262" s="191" t="s">
        <v>237</v>
      </c>
      <c r="G262" s="192"/>
      <c r="H262" s="193"/>
      <c r="I262" s="44">
        <f>I223</f>
        <v>7629.6081380471387</v>
      </c>
    </row>
    <row r="263" spans="6:10" ht="12" thickBot="1" x14ac:dyDescent="0.25">
      <c r="F263" s="191" t="s">
        <v>238</v>
      </c>
      <c r="G263" s="192"/>
      <c r="H263" s="193"/>
      <c r="I263" s="44">
        <f>I224</f>
        <v>7629.6081380471387</v>
      </c>
    </row>
    <row r="264" spans="6:10" ht="12" thickBot="1" x14ac:dyDescent="0.25">
      <c r="F264" s="132" t="s">
        <v>236</v>
      </c>
      <c r="G264" s="133"/>
      <c r="H264" s="134"/>
      <c r="I264" s="254">
        <v>0</v>
      </c>
    </row>
    <row r="265" spans="6:10" ht="12" thickBot="1" x14ac:dyDescent="0.25">
      <c r="F265" s="250" t="s">
        <v>237</v>
      </c>
      <c r="G265" s="251"/>
      <c r="H265" s="252"/>
      <c r="I265" s="253">
        <f>I262+(I262*I264)</f>
        <v>7629.6081380471387</v>
      </c>
    </row>
    <row r="266" spans="6:10" ht="12" thickBot="1" x14ac:dyDescent="0.25">
      <c r="F266" s="250" t="s">
        <v>238</v>
      </c>
      <c r="G266" s="251"/>
      <c r="H266" s="252"/>
      <c r="I266" s="253">
        <f>I263+(I263*I264)</f>
        <v>7629.6081380471387</v>
      </c>
    </row>
    <row r="267" spans="6:10" ht="12" thickBot="1" x14ac:dyDescent="0.25">
      <c r="F267" s="256" t="s">
        <v>241</v>
      </c>
      <c r="G267" s="257"/>
      <c r="H267" s="258"/>
      <c r="I267" s="255">
        <f>I265-I262</f>
        <v>0</v>
      </c>
    </row>
    <row r="268" spans="6:10" ht="12" thickBot="1" x14ac:dyDescent="0.25">
      <c r="F268" s="256" t="s">
        <v>242</v>
      </c>
      <c r="G268" s="257"/>
      <c r="H268" s="258"/>
      <c r="I268" s="255">
        <f>I266-I263</f>
        <v>0</v>
      </c>
    </row>
    <row r="269" spans="6:10" ht="12" thickBot="1" x14ac:dyDescent="0.25"/>
    <row r="270" spans="6:10" ht="12" thickBot="1" x14ac:dyDescent="0.25">
      <c r="F270" s="269" t="s">
        <v>279</v>
      </c>
      <c r="G270" s="270" t="s">
        <v>83</v>
      </c>
      <c r="H270" s="271"/>
      <c r="I270" s="272" t="s">
        <v>15</v>
      </c>
    </row>
    <row r="271" spans="6:10" ht="12" thickBot="1" x14ac:dyDescent="0.25">
      <c r="F271" s="191" t="s">
        <v>239</v>
      </c>
      <c r="G271" s="192"/>
      <c r="H271" s="193"/>
      <c r="I271" s="44">
        <f>I265</f>
        <v>7629.6081380471387</v>
      </c>
    </row>
    <row r="272" spans="6:10" ht="12" thickBot="1" x14ac:dyDescent="0.25">
      <c r="F272" s="191" t="s">
        <v>240</v>
      </c>
      <c r="G272" s="192"/>
      <c r="H272" s="193"/>
      <c r="I272" s="44">
        <f>I266</f>
        <v>7629.6081380471387</v>
      </c>
    </row>
    <row r="273" spans="6:9" ht="12" thickBot="1" x14ac:dyDescent="0.25">
      <c r="F273" s="132" t="s">
        <v>279</v>
      </c>
      <c r="G273" s="133"/>
      <c r="H273" s="134"/>
      <c r="I273" s="254">
        <v>0</v>
      </c>
    </row>
    <row r="274" spans="6:9" ht="12" thickBot="1" x14ac:dyDescent="0.25">
      <c r="F274" s="250" t="s">
        <v>239</v>
      </c>
      <c r="G274" s="251"/>
      <c r="H274" s="252"/>
      <c r="I274" s="253">
        <f>I271+(I271*I273)</f>
        <v>7629.6081380471387</v>
      </c>
    </row>
    <row r="275" spans="6:9" ht="12" thickBot="1" x14ac:dyDescent="0.25">
      <c r="F275" s="250" t="s">
        <v>240</v>
      </c>
      <c r="G275" s="251"/>
      <c r="H275" s="252"/>
      <c r="I275" s="253">
        <f>I272+(I272*I273)</f>
        <v>7629.6081380471387</v>
      </c>
    </row>
    <row r="276" spans="6:9" ht="12" thickBot="1" x14ac:dyDescent="0.25">
      <c r="F276" s="256" t="s">
        <v>241</v>
      </c>
      <c r="G276" s="257"/>
      <c r="H276" s="258"/>
      <c r="I276" s="255">
        <f>I274-I271</f>
        <v>0</v>
      </c>
    </row>
    <row r="277" spans="6:9" ht="12" thickBot="1" x14ac:dyDescent="0.25">
      <c r="F277" s="256" t="s">
        <v>242</v>
      </c>
      <c r="G277" s="257"/>
      <c r="H277" s="258"/>
      <c r="I277" s="255">
        <f>I275-I272</f>
        <v>0</v>
      </c>
    </row>
  </sheetData>
  <sheetProtection selectLockedCells="1"/>
  <mergeCells count="2">
    <mergeCell ref="I6:J6"/>
    <mergeCell ref="K6:L6"/>
  </mergeCells>
  <pageMargins left="7.0000000000000007E-2" right="0.12" top="0.15" bottom="0.12" header="0.12" footer="0.12"/>
  <pageSetup scale="39" orientation="portrait" horizontalDpi="4294967293" r:id="rId1"/>
  <headerFooter alignWithMargins="0"/>
  <ignoredErrors>
    <ignoredError sqref="L8:L9 J8:J11 K21 C21 I24 O8:P9 O13:P13 O11:P11 L11 J13 L13 O21:P21 I26 I37:I40 I43:I45 I52:I53 I48:I49 I28:I35 D7:D12 B9:B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255"/>
  <sheetViews>
    <sheetView tabSelected="1" zoomScale="70" zoomScaleNormal="70" zoomScalePageLayoutView="70" workbookViewId="0">
      <selection activeCell="E20" sqref="E20"/>
    </sheetView>
  </sheetViews>
  <sheetFormatPr defaultColWidth="9.140625" defaultRowHeight="14.1" customHeight="1" x14ac:dyDescent="0.2"/>
  <cols>
    <col min="1" max="1" width="1.42578125" style="325" customWidth="1"/>
    <col min="2" max="2" width="4.85546875" style="325" customWidth="1"/>
    <col min="3" max="3" width="32.28515625" style="325" customWidth="1"/>
    <col min="4" max="4" width="52.7109375" style="325" customWidth="1"/>
    <col min="5" max="5" width="23.7109375" style="526" customWidth="1"/>
    <col min="6" max="6" width="18.28515625" style="526" customWidth="1"/>
    <col min="7" max="7" width="19.42578125" style="527" customWidth="1"/>
    <col min="8" max="8" width="22" style="527" customWidth="1"/>
    <col min="9" max="9" width="20.85546875" style="527" customWidth="1"/>
    <col min="10" max="10" width="14.140625" style="332" customWidth="1"/>
    <col min="11" max="11" width="14.85546875" style="325" customWidth="1"/>
    <col min="12" max="12" width="13.42578125" style="325" customWidth="1"/>
    <col min="13" max="13" width="15.28515625" style="325" customWidth="1"/>
    <col min="14" max="14" width="10.140625" style="325" customWidth="1"/>
    <col min="15" max="15" width="14.7109375" style="325" customWidth="1"/>
    <col min="16" max="16" width="14.42578125" style="325" customWidth="1"/>
    <col min="17" max="17" width="1.7109375" style="325" customWidth="1"/>
    <col min="18" max="21" width="15.42578125" style="325" customWidth="1"/>
    <col min="22" max="22" width="1.140625" style="325" customWidth="1"/>
    <col min="23" max="26" width="15.42578125" style="325" customWidth="1"/>
    <col min="27" max="27" width="4" style="325" customWidth="1"/>
    <col min="28" max="28" width="1.42578125" style="325" customWidth="1"/>
    <col min="29" max="29" width="18.85546875" style="325" customWidth="1"/>
    <col min="30" max="30" width="9" style="325" customWidth="1"/>
    <col min="31" max="31" width="2.140625" style="325" customWidth="1"/>
    <col min="32" max="36" width="11.28515625" style="325" customWidth="1"/>
    <col min="37" max="37" width="8.42578125" style="325" customWidth="1"/>
    <col min="38" max="40" width="8.7109375" style="325" customWidth="1"/>
    <col min="41" max="41" width="15.140625" style="325" customWidth="1"/>
    <col min="42" max="42" width="9.85546875" style="325" customWidth="1"/>
    <col min="43" max="46" width="8.7109375" style="325" customWidth="1"/>
    <col min="47" max="47" width="9.140625" style="325" customWidth="1"/>
    <col min="48" max="48" width="14.28515625" style="325" bestFit="1" customWidth="1"/>
    <col min="49" max="49" width="10.7109375" style="325" hidden="1" customWidth="1"/>
    <col min="50" max="50" width="11.140625" style="325" hidden="1" customWidth="1"/>
    <col min="51" max="54" width="0" style="325" hidden="1" customWidth="1"/>
    <col min="55" max="16384" width="9.140625" style="325"/>
  </cols>
  <sheetData>
    <row r="1" spans="1:53" ht="14.1" customHeight="1" thickBot="1" x14ac:dyDescent="0.25">
      <c r="A1" s="322"/>
      <c r="B1" s="323"/>
      <c r="C1" s="323"/>
      <c r="D1" s="323"/>
      <c r="E1" s="523"/>
      <c r="F1" s="523"/>
      <c r="G1" s="524"/>
      <c r="H1" s="524"/>
      <c r="I1" s="524"/>
      <c r="J1" s="324"/>
      <c r="K1" s="323"/>
      <c r="L1" s="323"/>
      <c r="M1" s="323"/>
      <c r="N1" s="323"/>
      <c r="O1" s="323"/>
      <c r="P1" s="323"/>
    </row>
    <row r="2" spans="1:53" ht="29.25" thickBot="1" x14ac:dyDescent="0.25">
      <c r="A2" s="326"/>
      <c r="B2" s="1019" t="s">
        <v>569</v>
      </c>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c r="AA2" s="1020"/>
      <c r="AB2" s="1020"/>
      <c r="AC2" s="1020"/>
      <c r="AD2" s="1020"/>
      <c r="AE2" s="1020"/>
      <c r="AF2" s="1020"/>
      <c r="AG2" s="1020"/>
      <c r="AH2" s="1020"/>
      <c r="AI2" s="1020"/>
      <c r="AJ2" s="1020"/>
      <c r="AK2" s="1020"/>
      <c r="AL2" s="1021"/>
      <c r="AM2" s="318"/>
      <c r="AW2" s="318" t="s">
        <v>562</v>
      </c>
      <c r="AY2" s="325" t="s">
        <v>563</v>
      </c>
      <c r="BA2" s="325" t="s">
        <v>640</v>
      </c>
    </row>
    <row r="3" spans="1:53" ht="29.25" thickBot="1" x14ac:dyDescent="0.25">
      <c r="A3" s="326"/>
      <c r="B3" s="777" t="s">
        <v>494</v>
      </c>
      <c r="C3" s="778"/>
      <c r="D3" s="328" t="s">
        <v>588</v>
      </c>
      <c r="E3" s="779"/>
      <c r="F3" s="779"/>
      <c r="G3" s="779"/>
      <c r="H3" s="779"/>
      <c r="I3" s="779"/>
      <c r="J3" s="778"/>
      <c r="K3" s="778"/>
      <c r="L3" s="77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K3" s="778"/>
      <c r="AL3" s="780"/>
      <c r="AM3" s="318"/>
      <c r="AW3" s="318" t="s">
        <v>538</v>
      </c>
      <c r="AY3" s="325" t="s">
        <v>620</v>
      </c>
      <c r="BA3" s="325" t="s">
        <v>636</v>
      </c>
    </row>
    <row r="4" spans="1:53" ht="14.1" customHeight="1" thickBot="1" x14ac:dyDescent="0.25">
      <c r="A4" s="326"/>
      <c r="B4" s="781"/>
      <c r="C4" s="318"/>
      <c r="D4" s="318"/>
      <c r="E4" s="776"/>
      <c r="F4" s="776"/>
      <c r="G4" s="658"/>
      <c r="H4" s="658"/>
      <c r="I4" s="658"/>
      <c r="J4" s="782"/>
      <c r="K4" s="318"/>
      <c r="AW4" s="318" t="s">
        <v>567</v>
      </c>
      <c r="BA4" s="325" t="s">
        <v>637</v>
      </c>
    </row>
    <row r="5" spans="1:53" ht="14.1" customHeight="1" thickBot="1" x14ac:dyDescent="0.25">
      <c r="A5" s="326"/>
      <c r="B5" s="1036" t="s">
        <v>399</v>
      </c>
      <c r="C5" s="1037"/>
      <c r="D5" s="1037"/>
      <c r="E5" s="1037"/>
      <c r="F5" s="1037"/>
      <c r="G5" s="1037"/>
      <c r="H5" s="1037"/>
      <c r="I5" s="1037"/>
      <c r="J5" s="1037"/>
      <c r="K5" s="1038"/>
      <c r="AW5" s="318" t="s">
        <v>568</v>
      </c>
      <c r="BA5" s="325" t="s">
        <v>638</v>
      </c>
    </row>
    <row r="6" spans="1:53" ht="15" x14ac:dyDescent="0.25">
      <c r="A6" s="326"/>
      <c r="B6" s="1039" t="s">
        <v>389</v>
      </c>
      <c r="C6" s="1040"/>
      <c r="D6" s="333" t="s">
        <v>407</v>
      </c>
      <c r="E6" s="1041" t="s">
        <v>408</v>
      </c>
      <c r="F6" s="1042"/>
      <c r="G6" s="761"/>
      <c r="H6" s="784" t="s">
        <v>589</v>
      </c>
      <c r="I6" s="1047"/>
      <c r="J6" s="1048"/>
      <c r="K6" s="783"/>
      <c r="BA6" s="325" t="s">
        <v>639</v>
      </c>
    </row>
    <row r="7" spans="1:53" ht="18.75" x14ac:dyDescent="0.25">
      <c r="A7" s="326"/>
      <c r="B7" s="1043" t="s">
        <v>545</v>
      </c>
      <c r="C7" s="1044"/>
      <c r="D7" s="733" t="s">
        <v>562</v>
      </c>
      <c r="E7" s="1045" t="s">
        <v>387</v>
      </c>
      <c r="F7" s="1046"/>
      <c r="G7" s="762"/>
      <c r="H7" s="784" t="s">
        <v>388</v>
      </c>
      <c r="I7" s="1034"/>
      <c r="J7" s="1035"/>
      <c r="K7" s="783"/>
    </row>
    <row r="8" spans="1:53" ht="14.1" customHeight="1" thickBot="1" x14ac:dyDescent="0.25">
      <c r="A8" s="326"/>
      <c r="B8" s="1025" t="s">
        <v>504</v>
      </c>
      <c r="C8" s="1026"/>
      <c r="D8" s="335" t="s">
        <v>536</v>
      </c>
      <c r="E8" s="1027" t="s">
        <v>398</v>
      </c>
      <c r="F8" s="1028"/>
      <c r="G8" s="531"/>
      <c r="H8" s="786"/>
      <c r="I8" s="786"/>
      <c r="J8" s="787"/>
      <c r="K8" s="788"/>
      <c r="L8" s="325">
        <f>270.84-1.73</f>
        <v>269.10999999999996</v>
      </c>
      <c r="M8" s="325">
        <f>303*40%</f>
        <v>121.2</v>
      </c>
    </row>
    <row r="9" spans="1:53" ht="14.1" customHeight="1" x14ac:dyDescent="0.2">
      <c r="A9" s="326"/>
      <c r="B9" s="782"/>
      <c r="C9" s="782"/>
      <c r="D9" s="782"/>
      <c r="E9" s="776"/>
      <c r="F9" s="658"/>
      <c r="G9" s="658"/>
      <c r="H9" s="658"/>
      <c r="I9" s="658"/>
      <c r="J9" s="318"/>
      <c r="K9" s="318"/>
      <c r="L9" s="325">
        <f>180-155</f>
        <v>25</v>
      </c>
      <c r="M9" s="325">
        <f>303-M8</f>
        <v>181.8</v>
      </c>
    </row>
    <row r="10" spans="1:53" ht="14.1" customHeight="1" thickBot="1" x14ac:dyDescent="0.25">
      <c r="A10" s="332"/>
      <c r="B10" s="782"/>
      <c r="C10" s="782"/>
      <c r="D10" s="782"/>
      <c r="E10" s="658"/>
      <c r="F10" s="658"/>
      <c r="G10" s="658"/>
      <c r="H10" s="658"/>
      <c r="I10" s="658"/>
      <c r="J10" s="318"/>
      <c r="K10" s="318"/>
      <c r="R10" s="747"/>
      <c r="S10" s="747"/>
      <c r="T10" s="747"/>
      <c r="U10" s="747"/>
    </row>
    <row r="11" spans="1:53" ht="15.75" thickBot="1" x14ac:dyDescent="0.25">
      <c r="B11" s="1022" t="s">
        <v>428</v>
      </c>
      <c r="C11" s="1023"/>
      <c r="D11" s="1023"/>
      <c r="E11" s="1023"/>
      <c r="F11" s="1023"/>
      <c r="G11" s="1023"/>
      <c r="H11" s="1023"/>
      <c r="I11" s="1023"/>
      <c r="J11" s="1023"/>
      <c r="K11" s="1023"/>
      <c r="L11" s="1023"/>
      <c r="M11" s="1023"/>
      <c r="N11" s="1023"/>
      <c r="O11" s="1023"/>
      <c r="P11" s="1024"/>
      <c r="Q11" s="318"/>
      <c r="R11" s="1010" t="s">
        <v>416</v>
      </c>
      <c r="S11" s="1011"/>
      <c r="T11" s="1011"/>
      <c r="U11" s="1012"/>
      <c r="V11" s="717"/>
      <c r="W11" s="997" t="s">
        <v>417</v>
      </c>
      <c r="X11" s="998"/>
      <c r="Y11" s="998"/>
      <c r="Z11" s="999"/>
      <c r="AA11" s="318"/>
      <c r="AB11" s="718"/>
      <c r="AC11" s="1032" t="s">
        <v>475</v>
      </c>
      <c r="AD11" s="1032"/>
      <c r="AE11" s="1032"/>
      <c r="AF11" s="1032"/>
      <c r="AG11" s="1032"/>
      <c r="AH11" s="1032"/>
      <c r="AI11" s="1032"/>
      <c r="AJ11" s="1032"/>
      <c r="AK11" s="1032"/>
      <c r="AL11" s="1032"/>
      <c r="AM11" s="1032"/>
      <c r="AN11" s="719"/>
    </row>
    <row r="12" spans="1:53" ht="14.1" customHeight="1" thickBot="1" x14ac:dyDescent="0.25">
      <c r="A12" s="326"/>
      <c r="B12" s="1029" t="s">
        <v>379</v>
      </c>
      <c r="C12" s="972" t="s">
        <v>374</v>
      </c>
      <c r="D12" s="972" t="s">
        <v>429</v>
      </c>
      <c r="E12" s="974" t="s">
        <v>0</v>
      </c>
      <c r="F12" s="976" t="s">
        <v>618</v>
      </c>
      <c r="G12" s="977"/>
      <c r="H12" s="1003" t="s">
        <v>604</v>
      </c>
      <c r="I12" s="974" t="s">
        <v>375</v>
      </c>
      <c r="J12" s="1005" t="s">
        <v>395</v>
      </c>
      <c r="K12" s="1007" t="s">
        <v>416</v>
      </c>
      <c r="L12" s="1008"/>
      <c r="M12" s="1009"/>
      <c r="N12" s="1000" t="s">
        <v>417</v>
      </c>
      <c r="O12" s="1001"/>
      <c r="P12" s="1002"/>
      <c r="Q12" s="318"/>
      <c r="R12" s="738" t="s">
        <v>562</v>
      </c>
      <c r="S12" s="738" t="s">
        <v>538</v>
      </c>
      <c r="T12" s="738" t="s">
        <v>567</v>
      </c>
      <c r="U12" s="738" t="s">
        <v>568</v>
      </c>
      <c r="V12" s="318"/>
      <c r="W12" s="738" t="s">
        <v>562</v>
      </c>
      <c r="X12" s="738" t="s">
        <v>538</v>
      </c>
      <c r="Y12" s="738" t="s">
        <v>567</v>
      </c>
      <c r="Z12" s="738" t="s">
        <v>568</v>
      </c>
      <c r="AA12" s="318"/>
      <c r="AB12" s="684"/>
      <c r="AC12" s="1033"/>
      <c r="AD12" s="1033"/>
      <c r="AE12" s="1033"/>
      <c r="AF12" s="1033"/>
      <c r="AG12" s="1033"/>
      <c r="AH12" s="1033"/>
      <c r="AI12" s="1033"/>
      <c r="AJ12" s="1033"/>
      <c r="AK12" s="1033"/>
      <c r="AL12" s="1033"/>
      <c r="AM12" s="1033"/>
      <c r="AN12" s="697"/>
    </row>
    <row r="13" spans="1:53" ht="14.1" customHeight="1" thickBot="1" x14ac:dyDescent="0.25">
      <c r="A13" s="326"/>
      <c r="B13" s="1030"/>
      <c r="C13" s="1031"/>
      <c r="D13" s="973"/>
      <c r="E13" s="975"/>
      <c r="F13" s="978"/>
      <c r="G13" s="979"/>
      <c r="H13" s="1004"/>
      <c r="I13" s="975"/>
      <c r="J13" s="1006"/>
      <c r="K13" s="789" t="s">
        <v>376</v>
      </c>
      <c r="L13" s="790" t="s">
        <v>377</v>
      </c>
      <c r="M13" s="791" t="s">
        <v>378</v>
      </c>
      <c r="N13" s="790" t="s">
        <v>376</v>
      </c>
      <c r="O13" s="790" t="s">
        <v>377</v>
      </c>
      <c r="P13" s="791" t="s">
        <v>378</v>
      </c>
      <c r="Q13" s="318"/>
      <c r="R13" s="739"/>
      <c r="S13" s="739"/>
      <c r="T13" s="739"/>
      <c r="U13" s="739"/>
      <c r="V13" s="318"/>
      <c r="W13" s="739"/>
      <c r="X13" s="739"/>
      <c r="Y13" s="739"/>
      <c r="Z13" s="739"/>
      <c r="AA13" s="318"/>
      <c r="AB13" s="684"/>
      <c r="AC13" s="672" t="s">
        <v>619</v>
      </c>
      <c r="AD13" s="673"/>
      <c r="AE13" s="673"/>
      <c r="AF13" s="673"/>
      <c r="AG13" s="673"/>
      <c r="AH13" s="673"/>
      <c r="AI13" s="673"/>
      <c r="AJ13" s="673"/>
      <c r="AK13" s="673"/>
      <c r="AL13" s="673"/>
      <c r="AM13" s="672"/>
      <c r="AN13" s="697"/>
    </row>
    <row r="14" spans="1:53" ht="14.1" customHeight="1" x14ac:dyDescent="0.25">
      <c r="A14" s="326"/>
      <c r="B14" s="711">
        <v>1</v>
      </c>
      <c r="C14" s="1153">
        <v>43870</v>
      </c>
      <c r="D14" s="1154"/>
      <c r="E14" s="1155">
        <v>150</v>
      </c>
      <c r="F14" s="1156" t="s">
        <v>643</v>
      </c>
      <c r="G14" s="1157"/>
      <c r="H14" s="1158" t="s">
        <v>424</v>
      </c>
      <c r="I14" s="1159" t="s">
        <v>644</v>
      </c>
      <c r="J14" s="1154" t="s">
        <v>349</v>
      </c>
      <c r="K14" s="708"/>
      <c r="L14" s="451"/>
      <c r="M14" s="451"/>
      <c r="N14" s="451"/>
      <c r="O14" s="712">
        <v>386.75</v>
      </c>
      <c r="P14" s="451"/>
      <c r="Q14" s="318"/>
      <c r="R14" s="670">
        <f>IF(H14=$AF$14,(K14+L14+M14)*(1+$AF$15),IF(H14=$AG$14,(K14+L14+M14)*(1+$AG$15),IF(H14=$AH$14,(K14+L14+M14)*(1+$AH$15),IF(H14=$AI$14,(K14+L14+M14)*(1+$AI$15),IF(H14=$AJ$14,(K14+L14+M14)*(1+$AJ$15),IF(H14=$AK$14,(K14+L14+M14)*(1+$AK$15),IF(H14=$AL$14,(K14+L14+M14)*(1+$AL$15),(K14+L14+M14)*(1+$AM$15))))))))</f>
        <v>0</v>
      </c>
      <c r="S14" s="670">
        <f>IF(H14=$AF$14,(K14+L14+M14)*(1+$AF$16),IF(H14=$AG$14,(K14+L14+M14)*(1+$AG$16),IF(H14=$AH$14,(K14+L14+M14)*(1+$AH$16),IF(H14=$AI$14,(K14+L14+M14)*(1+$AI$16),IF(H14=$AJ$14,(K14+L14+M14)*(1+$AJ$16),IF(H14=$AK$14,(K14+L14+M14)*(1+$AK$16),IF(H14=$AL$14,(K14+L14+M14)*(1+$AL$16),(K14+L14+M14)*(1+$AM$16))))))))</f>
        <v>0</v>
      </c>
      <c r="T14" s="670">
        <f>IF(H14=$AF$14,(K14+L14+M14)*(1+$AF$17),IF(H14=$AG$14,(K14+L14+M14)*(1+$AG$17),IF(H14=$AH$14,(K14+L14+M14)*(1+$AH$17),IF(H14=$AI$14,(K14+L14+M14)*(1+$AI$17),IF(H14=$AJ$14,(K14+L14+M14)*(1+$AJ$17),IF(H14=$AK$14,(K14+L14+M14)*(1+$AK$17),IF(H14=$AL$14,(K14+L14+M14)*(1+$AL$17),(K14+L14+M14)*(1+$AM$17))))))))</f>
        <v>0</v>
      </c>
      <c r="U14" s="670">
        <f>IF(H14=$AF$14,(K14+L14+M14)*(1+$AF$18),IF(H14=$AG$14,(K14+L14+M14)*(1+$AG$18),IF(H14=$AH$14,(K14+L14+M14)*(1+$AH$18),IF(H14=$AI$14,(K14+L14+M14)*(1+$AI$18),IF(H14=$AJ$14,(K14+L14+M14)*(1+$AJ$18),IF(H14=$AK$14,(K14+L14+M14)*(1+$AK$18),IF(H14=$AL$14,(K14+L14+M14)*(1+$AL$18),(K14+L14+M14)*(1+$AM$18))))))))</f>
        <v>0</v>
      </c>
      <c r="V14" s="319"/>
      <c r="W14" s="670">
        <f t="shared" ref="W14:W44" si="0">IF(H14=$AF$14,(N14+O14+P14)*(1+$AF$15),IF(H14=$AG$14,(N14+O14+P14)*(1+$AG$15),IF(H14=$AH$14,(N14+O14+P14)*(1+$AH$15),IF(H14=$AI$14,(N14+O14+P14)*(1+$AI$15),IF(H14=$AJ$14,(N14+O14+P14)*(1+$AJ$15),IF(H14=$AK$14,(N14+O14+P14)*(1+$AK$15),IF(H14=$AL$14,(N14+O14+P14)*(1+$AL$15),(N14+O14+P14)*(1+$AM$15))))))))</f>
        <v>398.35250000000002</v>
      </c>
      <c r="X14" s="670">
        <f t="shared" ref="X14:X23" si="1">IF(H14=$AF$14,(N14+O14+P14)*(1+$AF$16),IF(H14=$AG$14,(N14+O14+P14)*(1+$AG$16),IF(H14=$AH$14,(N14+O14+P14)*(1+$AH$16),IF(H14=$AI$14,(N14+O14+P14)*(1+$AI$16),IF(H14=$AJ$14,(N14+O14+P14)*(1+$AJ$16),IF(H14=$AK$14,(N14+O14+P14)*(1+$AK$16),IF(H14=$AL$14,(N14+O14+P14)*(1+$AL$16),(N14+O14+P14)*(1+$AM$16))))))))</f>
        <v>406.08750000000003</v>
      </c>
      <c r="Y14" s="670">
        <f t="shared" ref="Y14:Y44" si="2">IF(H14=$AF$14,(N14+O14+P14)*(1+$AF$17),IF(H14=$AG$14,(N14+O14+P14)*(1+$AG$17),IF(H14=$AH$14,(N14+O14+P14)*(1+$AH$17),IF(H14=$AI$14,(N14+O14+P14)*(1+$AI$17),IF(H14=$AJ$14,(N14+O14+P14)*(1+$AJ$17),IF(H14=$AK$14,(N14+O14+P14)*(1+$AK$17),IF(H14=$AL$14,(N14+O14+P14)*(1+$AL$17),(N14+O14+P14)*(1+$AM$17))))))))</f>
        <v>413.82250000000005</v>
      </c>
      <c r="Z14" s="670">
        <f t="shared" ref="Z14:Z44" si="3">IF(H14=$AF$14,(N14+O14+P14)*(1+$AF$18),IF(H14=$AG$14,(N14+O14+P14)*(1+$AG$18),IF(H14=$AH$14,(N14+O14+P14)*(1+$AH$18),IF(H14=$AI$14,(N14+O14+P14)*(1+$AI$18),IF(H14=$AJ$14,(N14+O14+P14)*(1+$AJ$18),IF(H14=$AK$14,(N14+O14+P14)*(1+$AK$18),IF(H14=$AL$14,(N14+O14+P14)*(1+$AL$18),(N14+O14+P14)*(1+$AM$18))))))))</f>
        <v>421.5575</v>
      </c>
      <c r="AA14" s="318"/>
      <c r="AB14" s="684"/>
      <c r="AC14" s="792"/>
      <c r="AD14" s="674"/>
      <c r="AE14" s="675"/>
      <c r="AF14" s="793" t="s">
        <v>635</v>
      </c>
      <c r="AG14" s="793" t="s">
        <v>632</v>
      </c>
      <c r="AH14" s="793" t="s">
        <v>384</v>
      </c>
      <c r="AI14" s="793" t="s">
        <v>633</v>
      </c>
      <c r="AJ14" s="793" t="s">
        <v>385</v>
      </c>
      <c r="AK14" s="794" t="s">
        <v>634</v>
      </c>
      <c r="AL14" s="794" t="s">
        <v>386</v>
      </c>
      <c r="AM14" s="794" t="s">
        <v>424</v>
      </c>
      <c r="AN14" s="697"/>
    </row>
    <row r="15" spans="1:53" ht="14.1" customHeight="1" x14ac:dyDescent="0.25">
      <c r="A15" s="326"/>
      <c r="B15" s="457">
        <v>2</v>
      </c>
      <c r="C15" s="753">
        <v>43871</v>
      </c>
      <c r="D15" s="959"/>
      <c r="E15" s="754">
        <v>100</v>
      </c>
      <c r="F15" s="961" t="s">
        <v>643</v>
      </c>
      <c r="G15" s="755"/>
      <c r="H15" s="962" t="s">
        <v>424</v>
      </c>
      <c r="I15" s="963" t="s">
        <v>644</v>
      </c>
      <c r="J15" s="959" t="s">
        <v>349</v>
      </c>
      <c r="K15" s="709"/>
      <c r="L15" s="453"/>
      <c r="M15" s="453"/>
      <c r="N15" s="453"/>
      <c r="O15" s="712">
        <v>386.75</v>
      </c>
      <c r="P15" s="454"/>
      <c r="Q15" s="318"/>
      <c r="R15" s="670">
        <f t="shared" ref="R15:R44" si="4">IF(H15=$AF$14,(K15+L15+M15)*(1+$AF$15),IF(H15=$AG$14,(K15+L15+M15)*(1+$AG$15),IF(H15=$AH$14,(K15+L15+M15)*(1+$AH$15),IF(H15=$AI$14,(K15+L15+M15)*(1+$AI$15),IF(H15=$AJ$14,(K15+L15+M15)*(1+$AJ$15),IF(H15=$AK$14,(K15+L15+M15)*(1+$AK$15),IF(H15=$AL$14,(K15+L15+M15)*(1+$AL$15),(K15+L15+M15)*(1+$AM$15))))))))</f>
        <v>0</v>
      </c>
      <c r="S15" s="670">
        <f t="shared" ref="S15:S44" si="5">IF(H15=$AF$14,(K15+L15+M15)*(1+$AF$16),IF(H15=$AG$14,(K15+L15+M15)*(1+$AG$16),IF(H15=$AH$14,(K15+L15+M15)*(1+$AH$16),IF(H15=$AI$14,(K15+L15+M15)*(1+$AI$16),IF(H15=$AJ$14,(K15+L15+M15)*(1+$AJ$16),IF(H15=$AK$14,(K15+L15+M15)*(1+$AK$16),IF(H15=$AL$14,(K15+L15+M15)*(1+$AL$16),(K15+L15+M15)*(1+$AM$16))))))))</f>
        <v>0</v>
      </c>
      <c r="T15" s="670">
        <f t="shared" ref="T15:T44" si="6">IF(H15=$AF$14,(K15+L15+M15)*(1+$AF$17),IF(H15=$AG$14,(K15+L15+M15)*(1+$AG$17),IF(H15=$AH$14,(K15+L15+M15)*(1+$AH$17),IF(H15=$AI$14,(K15+L15+M15)*(1+$AI$17),IF(H15=$AJ$14,(K15+L15+M15)*(1+$AJ$17),IF(H15=$AK$14,(K15+L15+M15)*(1+$AK$17),IF(H15=$AL$14,(K15+L15+M15)*(1+$AL$17),(K15+L15+M15)*(1+$AM$17))))))))</f>
        <v>0</v>
      </c>
      <c r="U15" s="670">
        <f t="shared" ref="U15:U44" si="7">IF(H15=$AF$14,(K15+L15+M15)*(1+$AF$18),IF(H15=$AG$14,(K15+L15+M15)*(1+$AG$18),IF(H15=$AH$14,(K15+L15+M15)*(1+$AH$18),IF(H15=$AI$14,(K15+L15+M15)*(1+$AI$18),IF(H15=$AJ$14,(K15+L15+M15)*(1+$AJ$18),IF(H15=$AK$14,(K15+L15+M15)*(1+$AK$18),IF(H15=$AL$14,(K15+L15+M15)*(1+$AL$18),(K15+L15+M15)*(1+$AM$18))))))))</f>
        <v>0</v>
      </c>
      <c r="V15" s="319"/>
      <c r="W15" s="670">
        <f t="shared" si="0"/>
        <v>398.35250000000002</v>
      </c>
      <c r="X15" s="670">
        <f t="shared" si="1"/>
        <v>406.08750000000003</v>
      </c>
      <c r="Y15" s="670">
        <f t="shared" si="2"/>
        <v>413.82250000000005</v>
      </c>
      <c r="Z15" s="670">
        <f t="shared" si="3"/>
        <v>421.5575</v>
      </c>
      <c r="AA15" s="318"/>
      <c r="AB15" s="684"/>
      <c r="AC15" s="792" t="s">
        <v>628</v>
      </c>
      <c r="AD15" s="674"/>
      <c r="AE15" s="675"/>
      <c r="AF15" s="795">
        <v>0.2</v>
      </c>
      <c r="AG15" s="795">
        <v>0.17</v>
      </c>
      <c r="AH15" s="795">
        <v>0.15</v>
      </c>
      <c r="AI15" s="795">
        <v>0.12</v>
      </c>
      <c r="AJ15" s="795">
        <v>0.1</v>
      </c>
      <c r="AK15" s="796">
        <v>7.0000000000000007E-2</v>
      </c>
      <c r="AL15" s="796">
        <v>0.05</v>
      </c>
      <c r="AM15" s="796">
        <v>0.03</v>
      </c>
      <c r="AN15" s="697"/>
    </row>
    <row r="16" spans="1:53" ht="14.1" customHeight="1" x14ac:dyDescent="0.25">
      <c r="A16" s="326"/>
      <c r="B16" s="457">
        <v>3</v>
      </c>
      <c r="C16" s="753">
        <v>43872</v>
      </c>
      <c r="D16" s="959"/>
      <c r="E16" s="754">
        <v>100</v>
      </c>
      <c r="F16" s="961" t="s">
        <v>643</v>
      </c>
      <c r="G16" s="755"/>
      <c r="H16" s="962" t="s">
        <v>424</v>
      </c>
      <c r="I16" s="963" t="s">
        <v>644</v>
      </c>
      <c r="J16" s="959" t="s">
        <v>349</v>
      </c>
      <c r="K16" s="708"/>
      <c r="L16" s="451"/>
      <c r="M16" s="451"/>
      <c r="N16" s="451"/>
      <c r="O16" s="712">
        <v>386.75</v>
      </c>
      <c r="P16" s="454"/>
      <c r="Q16" s="318"/>
      <c r="R16" s="670">
        <f t="shared" si="4"/>
        <v>0</v>
      </c>
      <c r="S16" s="670">
        <f t="shared" si="5"/>
        <v>0</v>
      </c>
      <c r="T16" s="670">
        <f t="shared" si="6"/>
        <v>0</v>
      </c>
      <c r="U16" s="670">
        <f t="shared" si="7"/>
        <v>0</v>
      </c>
      <c r="V16" s="319"/>
      <c r="W16" s="670">
        <f t="shared" si="0"/>
        <v>398.35250000000002</v>
      </c>
      <c r="X16" s="670">
        <f t="shared" si="1"/>
        <v>406.08750000000003</v>
      </c>
      <c r="Y16" s="670">
        <f t="shared" si="2"/>
        <v>413.82250000000005</v>
      </c>
      <c r="Z16" s="670">
        <f t="shared" si="3"/>
        <v>421.5575</v>
      </c>
      <c r="AA16" s="318"/>
      <c r="AB16" s="684"/>
      <c r="AC16" s="792" t="s">
        <v>629</v>
      </c>
      <c r="AD16" s="674"/>
      <c r="AE16" s="675"/>
      <c r="AF16" s="795">
        <v>0.2</v>
      </c>
      <c r="AG16" s="795">
        <v>0.17</v>
      </c>
      <c r="AH16" s="795">
        <v>0.15</v>
      </c>
      <c r="AI16" s="795">
        <v>0.12</v>
      </c>
      <c r="AJ16" s="795">
        <v>0.1</v>
      </c>
      <c r="AK16" s="796">
        <v>0.1</v>
      </c>
      <c r="AL16" s="796">
        <v>0.08</v>
      </c>
      <c r="AM16" s="796">
        <v>0.05</v>
      </c>
      <c r="AN16" s="697"/>
    </row>
    <row r="17" spans="1:40" ht="14.1" customHeight="1" x14ac:dyDescent="0.25">
      <c r="A17" s="326"/>
      <c r="B17" s="457">
        <v>4</v>
      </c>
      <c r="C17" s="1153">
        <v>43873</v>
      </c>
      <c r="D17" s="1154"/>
      <c r="E17" s="1160">
        <v>180</v>
      </c>
      <c r="F17" s="1156" t="s">
        <v>641</v>
      </c>
      <c r="G17" s="1161"/>
      <c r="H17" s="1158" t="s">
        <v>384</v>
      </c>
      <c r="I17" s="1159" t="s">
        <v>642</v>
      </c>
      <c r="J17" s="1154" t="s">
        <v>645</v>
      </c>
      <c r="K17" s="708"/>
      <c r="L17" s="451"/>
      <c r="M17" s="451"/>
      <c r="N17" s="451"/>
      <c r="O17" s="452">
        <v>506</v>
      </c>
      <c r="P17" s="454"/>
      <c r="Q17" s="318"/>
      <c r="R17" s="670">
        <f t="shared" si="4"/>
        <v>0</v>
      </c>
      <c r="S17" s="670">
        <f t="shared" si="5"/>
        <v>0</v>
      </c>
      <c r="T17" s="670">
        <f t="shared" si="6"/>
        <v>0</v>
      </c>
      <c r="U17" s="670">
        <f t="shared" si="7"/>
        <v>0</v>
      </c>
      <c r="V17" s="319"/>
      <c r="W17" s="670">
        <f t="shared" si="0"/>
        <v>581.9</v>
      </c>
      <c r="X17" s="670">
        <f t="shared" si="1"/>
        <v>581.9</v>
      </c>
      <c r="Y17" s="670">
        <f t="shared" si="2"/>
        <v>617.31999999999994</v>
      </c>
      <c r="Z17" s="670">
        <f t="shared" si="3"/>
        <v>627.43999999999994</v>
      </c>
      <c r="AA17" s="318"/>
      <c r="AB17" s="684"/>
      <c r="AC17" s="792" t="s">
        <v>630</v>
      </c>
      <c r="AD17" s="674"/>
      <c r="AE17" s="675"/>
      <c r="AF17" s="795">
        <v>0.27</v>
      </c>
      <c r="AG17" s="795">
        <v>0.25</v>
      </c>
      <c r="AH17" s="795">
        <v>0.22</v>
      </c>
      <c r="AI17" s="795">
        <v>0.2</v>
      </c>
      <c r="AJ17" s="795">
        <v>0.17</v>
      </c>
      <c r="AK17" s="796">
        <v>0.15</v>
      </c>
      <c r="AL17" s="796">
        <v>0.12</v>
      </c>
      <c r="AM17" s="796">
        <v>7.0000000000000007E-2</v>
      </c>
      <c r="AN17" s="698"/>
    </row>
    <row r="18" spans="1:40" ht="14.1" customHeight="1" x14ac:dyDescent="0.25">
      <c r="A18" s="326"/>
      <c r="B18" s="457">
        <v>5</v>
      </c>
      <c r="C18" s="753">
        <v>43874</v>
      </c>
      <c r="D18" s="959"/>
      <c r="E18" s="754">
        <v>100</v>
      </c>
      <c r="F18" s="961" t="s">
        <v>641</v>
      </c>
      <c r="G18" s="755"/>
      <c r="H18" s="962" t="s">
        <v>384</v>
      </c>
      <c r="I18" s="963" t="s">
        <v>642</v>
      </c>
      <c r="J18" s="959" t="s">
        <v>646</v>
      </c>
      <c r="K18" s="708"/>
      <c r="L18" s="451"/>
      <c r="M18" s="451"/>
      <c r="N18" s="451"/>
      <c r="O18" s="452">
        <v>506</v>
      </c>
      <c r="P18" s="454"/>
      <c r="Q18" s="318"/>
      <c r="R18" s="670">
        <f t="shared" si="4"/>
        <v>0</v>
      </c>
      <c r="S18" s="670">
        <f t="shared" si="5"/>
        <v>0</v>
      </c>
      <c r="T18" s="670">
        <f t="shared" si="6"/>
        <v>0</v>
      </c>
      <c r="U18" s="670">
        <f t="shared" si="7"/>
        <v>0</v>
      </c>
      <c r="V18" s="319"/>
      <c r="W18" s="670">
        <f t="shared" si="0"/>
        <v>581.9</v>
      </c>
      <c r="X18" s="670">
        <f t="shared" si="1"/>
        <v>581.9</v>
      </c>
      <c r="Y18" s="670">
        <f t="shared" si="2"/>
        <v>617.31999999999994</v>
      </c>
      <c r="Z18" s="670">
        <f t="shared" si="3"/>
        <v>627.43999999999994</v>
      </c>
      <c r="AA18" s="318"/>
      <c r="AB18" s="684"/>
      <c r="AC18" s="792" t="s">
        <v>631</v>
      </c>
      <c r="AD18" s="674"/>
      <c r="AE18" s="675"/>
      <c r="AF18" s="795">
        <v>0.28999999999999998</v>
      </c>
      <c r="AG18" s="795">
        <v>0.27</v>
      </c>
      <c r="AH18" s="795">
        <v>0.24</v>
      </c>
      <c r="AI18" s="795">
        <v>0.22</v>
      </c>
      <c r="AJ18" s="795">
        <v>0.19</v>
      </c>
      <c r="AK18" s="796">
        <v>0.17</v>
      </c>
      <c r="AL18" s="796">
        <v>0.14000000000000001</v>
      </c>
      <c r="AM18" s="796">
        <v>0.09</v>
      </c>
      <c r="AN18" s="698"/>
    </row>
    <row r="19" spans="1:40" ht="14.1" customHeight="1" x14ac:dyDescent="0.25">
      <c r="A19" s="326"/>
      <c r="B19" s="457">
        <v>6</v>
      </c>
      <c r="C19" s="1153">
        <v>43875</v>
      </c>
      <c r="D19" s="1162"/>
      <c r="E19" s="1160">
        <v>180</v>
      </c>
      <c r="F19" s="1156" t="s">
        <v>648</v>
      </c>
      <c r="G19" s="1161"/>
      <c r="H19" s="1158" t="s">
        <v>385</v>
      </c>
      <c r="I19" s="1159" t="s">
        <v>647</v>
      </c>
      <c r="J19" s="1154" t="s">
        <v>646</v>
      </c>
      <c r="K19" s="708"/>
      <c r="L19" s="451"/>
      <c r="M19" s="451"/>
      <c r="N19" s="950"/>
      <c r="O19" s="452">
        <v>924</v>
      </c>
      <c r="P19" s="454"/>
      <c r="Q19" s="318"/>
      <c r="R19" s="670">
        <f t="shared" si="4"/>
        <v>0</v>
      </c>
      <c r="S19" s="670">
        <f t="shared" si="5"/>
        <v>0</v>
      </c>
      <c r="T19" s="670">
        <f t="shared" si="6"/>
        <v>0</v>
      </c>
      <c r="U19" s="670">
        <f t="shared" si="7"/>
        <v>0</v>
      </c>
      <c r="V19" s="319"/>
      <c r="W19" s="670">
        <f t="shared" si="0"/>
        <v>1016.4000000000001</v>
      </c>
      <c r="X19" s="670">
        <f t="shared" si="1"/>
        <v>1016.4000000000001</v>
      </c>
      <c r="Y19" s="670">
        <f t="shared" si="2"/>
        <v>1081.08</v>
      </c>
      <c r="Z19" s="670">
        <f t="shared" si="3"/>
        <v>1099.56</v>
      </c>
      <c r="AA19" s="318"/>
      <c r="AB19" s="684"/>
      <c r="AC19" s="673"/>
      <c r="AD19" s="676"/>
      <c r="AE19" s="672"/>
      <c r="AF19" s="673"/>
      <c r="AG19" s="673"/>
      <c r="AH19" s="673"/>
      <c r="AI19" s="673"/>
      <c r="AJ19" s="673"/>
      <c r="AK19" s="676"/>
      <c r="AL19" s="672"/>
      <c r="AM19" s="672"/>
      <c r="AN19" s="697"/>
    </row>
    <row r="20" spans="1:40" ht="14.1" customHeight="1" x14ac:dyDescent="0.25">
      <c r="A20" s="326"/>
      <c r="B20" s="457">
        <v>7</v>
      </c>
      <c r="C20" s="753">
        <v>43876</v>
      </c>
      <c r="D20" s="448"/>
      <c r="E20" s="754">
        <v>100</v>
      </c>
      <c r="F20" s="961" t="s">
        <v>648</v>
      </c>
      <c r="G20" s="755"/>
      <c r="H20" s="962" t="s">
        <v>385</v>
      </c>
      <c r="I20" s="963" t="s">
        <v>647</v>
      </c>
      <c r="J20" s="959" t="s">
        <v>646</v>
      </c>
      <c r="K20" s="709"/>
      <c r="L20" s="453"/>
      <c r="M20" s="453"/>
      <c r="N20" s="453"/>
      <c r="O20" s="452">
        <v>924</v>
      </c>
      <c r="P20" s="454"/>
      <c r="Q20" s="318"/>
      <c r="R20" s="670">
        <f t="shared" si="4"/>
        <v>0</v>
      </c>
      <c r="S20" s="670">
        <f t="shared" si="5"/>
        <v>0</v>
      </c>
      <c r="T20" s="670">
        <f t="shared" si="6"/>
        <v>0</v>
      </c>
      <c r="U20" s="670">
        <f t="shared" si="7"/>
        <v>0</v>
      </c>
      <c r="V20" s="319"/>
      <c r="W20" s="670">
        <f t="shared" si="0"/>
        <v>1016.4000000000001</v>
      </c>
      <c r="X20" s="670">
        <f t="shared" si="1"/>
        <v>1016.4000000000001</v>
      </c>
      <c r="Y20" s="670">
        <f t="shared" si="2"/>
        <v>1081.08</v>
      </c>
      <c r="Z20" s="670">
        <f t="shared" si="3"/>
        <v>1099.56</v>
      </c>
      <c r="AA20" s="318"/>
      <c r="AB20" s="684"/>
      <c r="AC20" s="677" t="s">
        <v>430</v>
      </c>
      <c r="AD20" s="750"/>
      <c r="AE20" s="750"/>
      <c r="AF20" s="750"/>
      <c r="AG20" s="955"/>
      <c r="AH20" s="955"/>
      <c r="AI20" s="955"/>
      <c r="AJ20" s="955"/>
      <c r="AK20" s="750"/>
      <c r="AL20" s="750"/>
      <c r="AM20" s="672"/>
      <c r="AN20" s="697"/>
    </row>
    <row r="21" spans="1:40" ht="14.1" customHeight="1" x14ac:dyDescent="0.25">
      <c r="A21" s="326"/>
      <c r="B21" s="457">
        <v>8</v>
      </c>
      <c r="C21" s="753">
        <v>43877</v>
      </c>
      <c r="D21" s="448"/>
      <c r="E21" s="754">
        <v>100</v>
      </c>
      <c r="F21" s="961" t="s">
        <v>648</v>
      </c>
      <c r="G21" s="755"/>
      <c r="H21" s="962" t="s">
        <v>385</v>
      </c>
      <c r="I21" s="963" t="s">
        <v>647</v>
      </c>
      <c r="J21" s="959" t="s">
        <v>646</v>
      </c>
      <c r="K21" s="709"/>
      <c r="L21" s="453"/>
      <c r="M21" s="453"/>
      <c r="N21" s="453"/>
      <c r="O21" s="452">
        <v>924</v>
      </c>
      <c r="P21" s="454"/>
      <c r="Q21" s="318"/>
      <c r="R21" s="670">
        <f t="shared" si="4"/>
        <v>0</v>
      </c>
      <c r="S21" s="670">
        <f t="shared" si="5"/>
        <v>0</v>
      </c>
      <c r="T21" s="670">
        <f t="shared" si="6"/>
        <v>0</v>
      </c>
      <c r="U21" s="670">
        <f t="shared" si="7"/>
        <v>0</v>
      </c>
      <c r="V21" s="319"/>
      <c r="W21" s="670">
        <f t="shared" si="0"/>
        <v>1016.4000000000001</v>
      </c>
      <c r="X21" s="670">
        <f t="shared" si="1"/>
        <v>1016.4000000000001</v>
      </c>
      <c r="Y21" s="670">
        <f t="shared" si="2"/>
        <v>1081.08</v>
      </c>
      <c r="Z21" s="670">
        <f t="shared" si="3"/>
        <v>1099.56</v>
      </c>
      <c r="AA21" s="318"/>
      <c r="AB21" s="684"/>
      <c r="AC21" s="678" t="s">
        <v>472</v>
      </c>
      <c r="AD21" s="679"/>
      <c r="AE21" s="679"/>
      <c r="AF21" s="679"/>
      <c r="AG21" s="679"/>
      <c r="AH21" s="679"/>
      <c r="AI21" s="679"/>
      <c r="AJ21" s="679"/>
      <c r="AK21" s="679"/>
      <c r="AL21" s="679"/>
      <c r="AM21" s="672"/>
      <c r="AN21" s="697"/>
    </row>
    <row r="22" spans="1:40" ht="14.1" customHeight="1" x14ac:dyDescent="0.25">
      <c r="A22" s="326"/>
      <c r="B22" s="457">
        <v>9</v>
      </c>
      <c r="C22" s="1153">
        <v>43878</v>
      </c>
      <c r="D22" s="1162" t="s">
        <v>658</v>
      </c>
      <c r="E22" s="1160">
        <v>100</v>
      </c>
      <c r="F22" s="1163" t="s">
        <v>656</v>
      </c>
      <c r="G22" s="1161"/>
      <c r="H22" s="1158" t="s">
        <v>384</v>
      </c>
      <c r="I22" s="1164" t="s">
        <v>657</v>
      </c>
      <c r="J22" s="1165" t="s">
        <v>350</v>
      </c>
      <c r="K22" s="710"/>
      <c r="L22" s="343"/>
      <c r="M22" s="343"/>
      <c r="N22" s="343"/>
      <c r="O22" s="340">
        <v>181.8</v>
      </c>
      <c r="P22" s="344"/>
      <c r="Q22" s="318"/>
      <c r="R22" s="670">
        <f t="shared" si="4"/>
        <v>0</v>
      </c>
      <c r="S22" s="670">
        <f t="shared" si="5"/>
        <v>0</v>
      </c>
      <c r="T22" s="670">
        <f t="shared" si="6"/>
        <v>0</v>
      </c>
      <c r="U22" s="670">
        <f t="shared" si="7"/>
        <v>0</v>
      </c>
      <c r="V22" s="319"/>
      <c r="W22" s="670">
        <f t="shared" si="0"/>
        <v>209.07</v>
      </c>
      <c r="X22" s="670">
        <f t="shared" si="1"/>
        <v>209.07</v>
      </c>
      <c r="Y22" s="670">
        <f t="shared" si="2"/>
        <v>221.79600000000002</v>
      </c>
      <c r="Z22" s="670">
        <f t="shared" si="3"/>
        <v>225.43200000000002</v>
      </c>
      <c r="AA22" s="318"/>
      <c r="AB22" s="684"/>
      <c r="AC22" s="672"/>
      <c r="AD22" s="672"/>
      <c r="AE22" s="672"/>
      <c r="AF22" s="680"/>
      <c r="AG22" s="680"/>
      <c r="AH22" s="680"/>
      <c r="AI22" s="680"/>
      <c r="AJ22" s="680"/>
      <c r="AK22" s="681"/>
      <c r="AL22" s="672"/>
      <c r="AM22" s="672"/>
      <c r="AN22" s="697"/>
    </row>
    <row r="23" spans="1:40" ht="14.1" customHeight="1" x14ac:dyDescent="0.25">
      <c r="A23" s="326"/>
      <c r="B23" s="457">
        <v>10</v>
      </c>
      <c r="C23" s="753">
        <v>43879</v>
      </c>
      <c r="D23" s="960"/>
      <c r="E23" s="754">
        <v>100</v>
      </c>
      <c r="F23" s="964" t="s">
        <v>656</v>
      </c>
      <c r="G23" s="755"/>
      <c r="H23" s="962" t="s">
        <v>384</v>
      </c>
      <c r="I23" s="965" t="s">
        <v>657</v>
      </c>
      <c r="J23" s="966" t="s">
        <v>350</v>
      </c>
      <c r="K23" s="710"/>
      <c r="L23" s="343"/>
      <c r="M23" s="343"/>
      <c r="N23" s="343"/>
      <c r="O23" s="340">
        <v>181.8</v>
      </c>
      <c r="P23" s="344"/>
      <c r="Q23" s="318"/>
      <c r="R23" s="670">
        <f t="shared" si="4"/>
        <v>0</v>
      </c>
      <c r="S23" s="670">
        <f t="shared" si="5"/>
        <v>0</v>
      </c>
      <c r="T23" s="670">
        <f t="shared" si="6"/>
        <v>0</v>
      </c>
      <c r="U23" s="670">
        <f t="shared" si="7"/>
        <v>0</v>
      </c>
      <c r="V23" s="319"/>
      <c r="W23" s="670">
        <f t="shared" si="0"/>
        <v>209.07</v>
      </c>
      <c r="X23" s="670">
        <f t="shared" si="1"/>
        <v>209.07</v>
      </c>
      <c r="Y23" s="670">
        <f>IF(H23=$AF$14,(N23+O23+P23)*(1+$AF$17),IF(H23=$AG$14,(N23+O23+P23)*(1+$AG$17),IF(H23=$AH$14,(N23+O23+P23)*(1+$AH$17),IF(H23=$AI$14,(N23+O23+P23)*(1+$AI$17),IF(H23=$AJ$14,(N23+O23+P23)*(1+$AJ$17),IF(H23=$AK$14,(N23+O23+P23)*(1+$AK$17),IF(H23=$AL$14,(N23+O23+P23)*(1+$AL$17),(N23+O23+P23)*(1+$AM$17))))))))</f>
        <v>221.79600000000002</v>
      </c>
      <c r="Z23" s="670">
        <f t="shared" si="3"/>
        <v>225.43200000000002</v>
      </c>
      <c r="AA23" s="318"/>
      <c r="AB23" s="684"/>
      <c r="AC23" s="792" t="s">
        <v>562</v>
      </c>
      <c r="AD23" s="732">
        <v>0.25</v>
      </c>
      <c r="AE23" s="672"/>
      <c r="AF23" s="680"/>
      <c r="AG23" s="680"/>
      <c r="AH23" s="680"/>
      <c r="AI23" s="680"/>
      <c r="AJ23" s="680"/>
      <c r="AK23" s="681"/>
      <c r="AL23" s="672"/>
      <c r="AM23" s="672"/>
      <c r="AN23" s="697"/>
    </row>
    <row r="24" spans="1:40" ht="14.1" customHeight="1" x14ac:dyDescent="0.25">
      <c r="A24" s="326"/>
      <c r="B24" s="457">
        <v>11</v>
      </c>
      <c r="C24" s="753">
        <v>43880</v>
      </c>
      <c r="D24" s="960"/>
      <c r="E24" s="754">
        <v>100</v>
      </c>
      <c r="F24" s="964" t="s">
        <v>656</v>
      </c>
      <c r="G24" s="755"/>
      <c r="H24" s="962" t="s">
        <v>384</v>
      </c>
      <c r="I24" s="965" t="s">
        <v>657</v>
      </c>
      <c r="J24" s="966" t="s">
        <v>350</v>
      </c>
      <c r="K24" s="710"/>
      <c r="L24" s="343"/>
      <c r="M24" s="343"/>
      <c r="N24" s="343"/>
      <c r="O24" s="340">
        <v>181.8</v>
      </c>
      <c r="P24" s="344"/>
      <c r="Q24" s="318"/>
      <c r="R24" s="670">
        <f t="shared" si="4"/>
        <v>0</v>
      </c>
      <c r="S24" s="670">
        <f t="shared" si="5"/>
        <v>0</v>
      </c>
      <c r="T24" s="670">
        <f t="shared" si="6"/>
        <v>0</v>
      </c>
      <c r="U24" s="670">
        <f t="shared" si="7"/>
        <v>0</v>
      </c>
      <c r="V24" s="319"/>
      <c r="W24" s="670">
        <f t="shared" si="0"/>
        <v>209.07</v>
      </c>
      <c r="X24" s="670">
        <f>IF(H24=$AF$14,(N24+O24+P24)*(1+$AF$16),IF(H24=$AG$14,(N24+O24+P24)*(1+$AG$16),IF(H24=$AH$14,(N24+O24+P24)*(1+$AH$16),IF(H24=$AI$14,(N24+O24+P24)*(1+$AI$16),IF(H24=$AJ$14,(N24+O24+P24)*(1+$AJ$16),IF(H24=$AK$14,(N24+O24+P24)*(1+$AK$16),IF(H24=$AL$14,(N24+O24+P24)*(1+$AL$16),(N24+O24+P24)*(1+$AM$16))))))))</f>
        <v>209.07</v>
      </c>
      <c r="Y24" s="670">
        <f t="shared" si="2"/>
        <v>221.79600000000002</v>
      </c>
      <c r="Z24" s="670">
        <f t="shared" si="3"/>
        <v>225.43200000000002</v>
      </c>
      <c r="AA24" s="318"/>
      <c r="AB24" s="684"/>
      <c r="AC24" s="797" t="s">
        <v>538</v>
      </c>
      <c r="AD24" s="732">
        <v>0.25</v>
      </c>
      <c r="AE24" s="672"/>
      <c r="AF24" s="680"/>
      <c r="AG24" s="680"/>
      <c r="AH24" s="680"/>
      <c r="AI24" s="680"/>
      <c r="AJ24" s="680"/>
      <c r="AK24" s="681"/>
      <c r="AL24" s="672"/>
      <c r="AM24" s="672"/>
      <c r="AN24" s="697"/>
    </row>
    <row r="25" spans="1:40" ht="14.1" customHeight="1" x14ac:dyDescent="0.25">
      <c r="A25" s="326"/>
      <c r="B25" s="457">
        <v>12</v>
      </c>
      <c r="C25" s="1153">
        <v>43881</v>
      </c>
      <c r="D25" s="1166"/>
      <c r="E25" s="1160">
        <v>100</v>
      </c>
      <c r="F25" s="1156" t="s">
        <v>649</v>
      </c>
      <c r="G25" s="1161"/>
      <c r="H25" s="1158" t="s">
        <v>384</v>
      </c>
      <c r="I25" s="1159" t="s">
        <v>650</v>
      </c>
      <c r="J25" s="1154" t="s">
        <v>349</v>
      </c>
      <c r="K25" s="710"/>
      <c r="L25" s="343"/>
      <c r="M25" s="343"/>
      <c r="N25" s="343"/>
      <c r="O25" s="340">
        <v>244</v>
      </c>
      <c r="P25" s="344"/>
      <c r="Q25" s="318"/>
      <c r="R25" s="670">
        <f t="shared" si="4"/>
        <v>0</v>
      </c>
      <c r="S25" s="670">
        <f t="shared" si="5"/>
        <v>0</v>
      </c>
      <c r="T25" s="670">
        <f t="shared" si="6"/>
        <v>0</v>
      </c>
      <c r="U25" s="670">
        <f t="shared" si="7"/>
        <v>0</v>
      </c>
      <c r="V25" s="319"/>
      <c r="W25" s="670">
        <f t="shared" si="0"/>
        <v>280.59999999999997</v>
      </c>
      <c r="X25" s="670">
        <f t="shared" ref="X25:X44" si="8">IF(H25=$AF$14,(N25+O25+P25)*(1+$AF$16),IF(H25=$AG$14,(N25+O25+P25)*(1+$AG$16),IF(H25=$AH$14,(N25+O25+P25)*(1+$AH$16),IF(H25=$AI$14,(N25+O25+P25)*(1+$AI$16),IF(H25=$AJ$14,(N25+O25+P25)*(1+$AJ$16),IF(H25=$AK$14,(N25+O25+P25)*(1+$AK$16),IF(H25=$AL$14,(N25+O25+P25)*(1+$AL$16),(N25+O25+P25)*(1+$AM$16))))))))</f>
        <v>280.59999999999997</v>
      </c>
      <c r="Y25" s="670">
        <f t="shared" si="2"/>
        <v>297.68</v>
      </c>
      <c r="Z25" s="670">
        <f t="shared" si="3"/>
        <v>302.56</v>
      </c>
      <c r="AA25" s="318"/>
      <c r="AB25" s="684"/>
      <c r="AC25" s="797" t="s">
        <v>567</v>
      </c>
      <c r="AD25" s="732">
        <v>0.17</v>
      </c>
      <c r="AE25" s="672"/>
      <c r="AF25" s="680"/>
      <c r="AG25" s="680"/>
      <c r="AH25" s="680"/>
      <c r="AI25" s="680"/>
      <c r="AJ25" s="680"/>
      <c r="AK25" s="681"/>
      <c r="AL25" s="672"/>
      <c r="AM25" s="672"/>
      <c r="AN25" s="697"/>
    </row>
    <row r="26" spans="1:40" ht="14.1" customHeight="1" x14ac:dyDescent="0.25">
      <c r="A26" s="326"/>
      <c r="B26" s="457">
        <v>13</v>
      </c>
      <c r="C26" s="753">
        <v>43882</v>
      </c>
      <c r="D26" s="960"/>
      <c r="E26" s="754">
        <v>100</v>
      </c>
      <c r="F26" s="961" t="s">
        <v>649</v>
      </c>
      <c r="G26" s="755"/>
      <c r="H26" s="962" t="s">
        <v>384</v>
      </c>
      <c r="I26" s="963" t="s">
        <v>650</v>
      </c>
      <c r="J26" s="959" t="s">
        <v>349</v>
      </c>
      <c r="K26" s="710"/>
      <c r="L26" s="343"/>
      <c r="M26" s="343"/>
      <c r="N26" s="343"/>
      <c r="O26" s="340">
        <v>244</v>
      </c>
      <c r="P26" s="344"/>
      <c r="Q26" s="318"/>
      <c r="R26" s="670">
        <f t="shared" si="4"/>
        <v>0</v>
      </c>
      <c r="S26" s="670">
        <f t="shared" si="5"/>
        <v>0</v>
      </c>
      <c r="T26" s="670">
        <f t="shared" si="6"/>
        <v>0</v>
      </c>
      <c r="U26" s="670">
        <f t="shared" si="7"/>
        <v>0</v>
      </c>
      <c r="V26" s="319"/>
      <c r="W26" s="670">
        <f t="shared" si="0"/>
        <v>280.59999999999997</v>
      </c>
      <c r="X26" s="670">
        <f t="shared" si="8"/>
        <v>280.59999999999997</v>
      </c>
      <c r="Y26" s="670">
        <f t="shared" si="2"/>
        <v>297.68</v>
      </c>
      <c r="Z26" s="670">
        <f t="shared" si="3"/>
        <v>302.56</v>
      </c>
      <c r="AA26" s="318"/>
      <c r="AB26" s="684"/>
      <c r="AC26" s="797" t="s">
        <v>568</v>
      </c>
      <c r="AD26" s="732">
        <v>0.17</v>
      </c>
      <c r="AE26" s="672"/>
      <c r="AF26" s="680"/>
      <c r="AG26" s="680"/>
      <c r="AH26" s="680"/>
      <c r="AI26" s="680"/>
      <c r="AJ26" s="680"/>
      <c r="AK26" s="681"/>
      <c r="AL26" s="672"/>
      <c r="AM26" s="672"/>
      <c r="AN26" s="697"/>
    </row>
    <row r="27" spans="1:40" ht="14.1" customHeight="1" x14ac:dyDescent="0.25">
      <c r="A27" s="326"/>
      <c r="B27" s="457">
        <v>14</v>
      </c>
      <c r="C27" s="753">
        <v>43883</v>
      </c>
      <c r="D27" s="960"/>
      <c r="E27" s="754">
        <v>100</v>
      </c>
      <c r="F27" s="961" t="s">
        <v>649</v>
      </c>
      <c r="G27" s="755"/>
      <c r="H27" s="962" t="s">
        <v>384</v>
      </c>
      <c r="I27" s="963" t="s">
        <v>650</v>
      </c>
      <c r="J27" s="959" t="s">
        <v>349</v>
      </c>
      <c r="K27" s="710"/>
      <c r="L27" s="343"/>
      <c r="M27" s="343"/>
      <c r="N27" s="343"/>
      <c r="O27" s="340">
        <v>244</v>
      </c>
      <c r="P27" s="344"/>
      <c r="Q27" s="318"/>
      <c r="R27" s="670">
        <f t="shared" si="4"/>
        <v>0</v>
      </c>
      <c r="S27" s="670">
        <f t="shared" si="5"/>
        <v>0</v>
      </c>
      <c r="T27" s="670">
        <f t="shared" si="6"/>
        <v>0</v>
      </c>
      <c r="U27" s="670">
        <f t="shared" si="7"/>
        <v>0</v>
      </c>
      <c r="V27" s="319"/>
      <c r="W27" s="670">
        <f t="shared" si="0"/>
        <v>280.59999999999997</v>
      </c>
      <c r="X27" s="670">
        <f t="shared" si="8"/>
        <v>280.59999999999997</v>
      </c>
      <c r="Y27" s="670">
        <f t="shared" si="2"/>
        <v>297.68</v>
      </c>
      <c r="Z27" s="670">
        <f>IF(H27=$AF$14,(N27+O27+P27)*(1+$AF$18),IF(H27=$AG$14,(N27+O27+P27)*(1+$AG$18),IF(H27=$AH$14,(N27+O27+P27)*(1+$AH$18),IF(H27=$AI$14,(N27+O27+P27)*(1+$AI$18),IF(H27=$AJ$14,(N27+O27+P27)*(1+$AJ$18),IF(H27=$AK$14,(N27+O27+P27)*(1+$AK$18),IF(H27=$AL$14,(N27+O27+P27)*(1+$AL$18),(N27+O27+P27)*(1+$AM$18))))))))</f>
        <v>302.56</v>
      </c>
      <c r="AA27" s="318"/>
      <c r="AB27" s="684"/>
      <c r="AC27" s="672"/>
      <c r="AD27" s="672"/>
      <c r="AE27" s="672"/>
      <c r="AF27" s="680"/>
      <c r="AG27" s="680"/>
      <c r="AH27" s="680"/>
      <c r="AI27" s="680"/>
      <c r="AJ27" s="680"/>
      <c r="AK27" s="681"/>
      <c r="AL27" s="672"/>
      <c r="AM27" s="672"/>
      <c r="AN27" s="697"/>
    </row>
    <row r="28" spans="1:40" ht="14.1" customHeight="1" x14ac:dyDescent="0.25">
      <c r="A28" s="326"/>
      <c r="B28" s="457">
        <v>15</v>
      </c>
      <c r="C28" s="1153">
        <v>43884</v>
      </c>
      <c r="D28" s="1166"/>
      <c r="E28" s="1160">
        <v>180</v>
      </c>
      <c r="F28" s="1167"/>
      <c r="G28" s="1161"/>
      <c r="H28" s="1168"/>
      <c r="I28" s="1169"/>
      <c r="J28" s="1160"/>
      <c r="K28" s="710"/>
      <c r="L28" s="343"/>
      <c r="M28" s="343"/>
      <c r="N28" s="343"/>
      <c r="O28" s="343"/>
      <c r="P28" s="344"/>
      <c r="Q28" s="318"/>
      <c r="R28" s="670">
        <f t="shared" si="4"/>
        <v>0</v>
      </c>
      <c r="S28" s="670">
        <f t="shared" si="5"/>
        <v>0</v>
      </c>
      <c r="T28" s="670">
        <f t="shared" si="6"/>
        <v>0</v>
      </c>
      <c r="U28" s="670">
        <f t="shared" si="7"/>
        <v>0</v>
      </c>
      <c r="V28" s="319"/>
      <c r="W28" s="670">
        <f t="shared" si="0"/>
        <v>0</v>
      </c>
      <c r="X28" s="670">
        <f t="shared" si="8"/>
        <v>0</v>
      </c>
      <c r="Y28" s="670">
        <f t="shared" si="2"/>
        <v>0</v>
      </c>
      <c r="Z28" s="670">
        <f t="shared" si="3"/>
        <v>0</v>
      </c>
      <c r="AA28" s="318"/>
      <c r="AB28" s="684"/>
      <c r="AC28" s="672"/>
      <c r="AD28" s="672"/>
      <c r="AE28" s="672"/>
      <c r="AF28" s="672"/>
      <c r="AG28" s="672"/>
      <c r="AH28" s="672"/>
      <c r="AI28" s="672"/>
      <c r="AJ28" s="672"/>
      <c r="AK28" s="672"/>
      <c r="AL28" s="672"/>
      <c r="AM28" s="672"/>
      <c r="AN28" s="697"/>
    </row>
    <row r="29" spans="1:40" ht="14.1" customHeight="1" x14ac:dyDescent="0.25">
      <c r="A29" s="326"/>
      <c r="B29" s="457">
        <v>16</v>
      </c>
      <c r="C29" s="757"/>
      <c r="D29" s="754"/>
      <c r="E29" s="754"/>
      <c r="F29" s="758"/>
      <c r="G29" s="755"/>
      <c r="H29" s="906"/>
      <c r="I29" s="756"/>
      <c r="J29" s="754"/>
      <c r="K29" s="710"/>
      <c r="L29" s="343"/>
      <c r="M29" s="343"/>
      <c r="N29" s="343"/>
      <c r="O29" s="343"/>
      <c r="P29" s="344"/>
      <c r="Q29" s="318"/>
      <c r="R29" s="670">
        <f t="shared" si="4"/>
        <v>0</v>
      </c>
      <c r="S29" s="670">
        <f t="shared" si="5"/>
        <v>0</v>
      </c>
      <c r="T29" s="670">
        <f t="shared" si="6"/>
        <v>0</v>
      </c>
      <c r="U29" s="670">
        <f t="shared" si="7"/>
        <v>0</v>
      </c>
      <c r="V29" s="319"/>
      <c r="W29" s="670">
        <f t="shared" si="0"/>
        <v>0</v>
      </c>
      <c r="X29" s="670">
        <f t="shared" si="8"/>
        <v>0</v>
      </c>
      <c r="Y29" s="670">
        <f t="shared" si="2"/>
        <v>0</v>
      </c>
      <c r="Z29" s="670">
        <f t="shared" si="3"/>
        <v>0</v>
      </c>
      <c r="AA29" s="318"/>
      <c r="AB29" s="684"/>
      <c r="AC29" s="673" t="s">
        <v>422</v>
      </c>
      <c r="AD29" s="673"/>
      <c r="AE29" s="673"/>
      <c r="AF29" s="673"/>
      <c r="AG29" s="673"/>
      <c r="AH29" s="673"/>
      <c r="AI29" s="673"/>
      <c r="AJ29" s="673"/>
      <c r="AK29" s="673"/>
      <c r="AL29" s="673"/>
      <c r="AM29" s="672"/>
      <c r="AN29" s="697"/>
    </row>
    <row r="30" spans="1:40" ht="14.1" customHeight="1" x14ac:dyDescent="0.25">
      <c r="A30" s="326"/>
      <c r="B30" s="457">
        <v>17</v>
      </c>
      <c r="C30" s="757"/>
      <c r="D30" s="754"/>
      <c r="E30" s="754"/>
      <c r="F30" s="759"/>
      <c r="G30" s="760"/>
      <c r="H30" s="907"/>
      <c r="I30" s="756"/>
      <c r="J30" s="754"/>
      <c r="K30" s="710"/>
      <c r="L30" s="343"/>
      <c r="M30" s="343"/>
      <c r="N30" s="343"/>
      <c r="O30" s="343"/>
      <c r="P30" s="344"/>
      <c r="Q30" s="318"/>
      <c r="R30" s="670">
        <f t="shared" si="4"/>
        <v>0</v>
      </c>
      <c r="S30" s="670">
        <f t="shared" si="5"/>
        <v>0</v>
      </c>
      <c r="T30" s="670">
        <f t="shared" si="6"/>
        <v>0</v>
      </c>
      <c r="U30" s="670">
        <f t="shared" si="7"/>
        <v>0</v>
      </c>
      <c r="V30" s="319"/>
      <c r="W30" s="670">
        <f t="shared" si="0"/>
        <v>0</v>
      </c>
      <c r="X30" s="670">
        <f t="shared" si="8"/>
        <v>0</v>
      </c>
      <c r="Y30" s="670">
        <f t="shared" si="2"/>
        <v>0</v>
      </c>
      <c r="Z30" s="670">
        <f t="shared" si="3"/>
        <v>0</v>
      </c>
      <c r="AA30" s="318"/>
      <c r="AB30" s="684"/>
      <c r="AC30" s="672" t="s">
        <v>471</v>
      </c>
      <c r="AD30" s="672"/>
      <c r="AE30" s="672"/>
      <c r="AF30" s="672"/>
      <c r="AG30" s="672"/>
      <c r="AH30" s="672"/>
      <c r="AI30" s="672"/>
      <c r="AJ30" s="672"/>
      <c r="AK30" s="672"/>
      <c r="AL30" s="672"/>
      <c r="AM30" s="672"/>
      <c r="AN30" s="697"/>
    </row>
    <row r="31" spans="1:40" ht="14.1" customHeight="1" x14ac:dyDescent="0.25">
      <c r="A31" s="326"/>
      <c r="B31" s="457">
        <v>18</v>
      </c>
      <c r="C31" s="757"/>
      <c r="D31" s="754"/>
      <c r="E31" s="754"/>
      <c r="F31" s="759"/>
      <c r="G31" s="760"/>
      <c r="H31" s="907"/>
      <c r="I31" s="756"/>
      <c r="J31" s="754"/>
      <c r="K31" s="710"/>
      <c r="L31" s="343"/>
      <c r="M31" s="343"/>
      <c r="N31" s="343"/>
      <c r="O31" s="343"/>
      <c r="P31" s="344"/>
      <c r="Q31" s="318"/>
      <c r="R31" s="670">
        <f t="shared" si="4"/>
        <v>0</v>
      </c>
      <c r="S31" s="670">
        <f t="shared" si="5"/>
        <v>0</v>
      </c>
      <c r="T31" s="670">
        <f t="shared" si="6"/>
        <v>0</v>
      </c>
      <c r="U31" s="670">
        <f t="shared" si="7"/>
        <v>0</v>
      </c>
      <c r="V31" s="319"/>
      <c r="W31" s="670">
        <f t="shared" si="0"/>
        <v>0</v>
      </c>
      <c r="X31" s="670">
        <f t="shared" si="8"/>
        <v>0</v>
      </c>
      <c r="Y31" s="670">
        <f t="shared" si="2"/>
        <v>0</v>
      </c>
      <c r="Z31" s="670">
        <f t="shared" si="3"/>
        <v>0</v>
      </c>
      <c r="AA31" s="318"/>
      <c r="AB31" s="684"/>
      <c r="AC31" s="682" t="s">
        <v>563</v>
      </c>
      <c r="AD31" s="732">
        <v>0.1</v>
      </c>
      <c r="AE31" s="672"/>
      <c r="AF31" s="673"/>
      <c r="AG31" s="673"/>
      <c r="AH31" s="673"/>
      <c r="AI31" s="673"/>
      <c r="AJ31" s="673"/>
      <c r="AK31" s="673"/>
      <c r="AL31" s="673"/>
      <c r="AM31" s="672"/>
      <c r="AN31" s="697"/>
    </row>
    <row r="32" spans="1:40" ht="14.1" customHeight="1" x14ac:dyDescent="0.25">
      <c r="A32" s="326"/>
      <c r="B32" s="457">
        <v>19</v>
      </c>
      <c r="C32" s="757"/>
      <c r="D32" s="754"/>
      <c r="E32" s="754"/>
      <c r="F32" s="759"/>
      <c r="G32" s="760"/>
      <c r="H32" s="908"/>
      <c r="I32" s="756"/>
      <c r="J32" s="754"/>
      <c r="K32" s="710"/>
      <c r="L32" s="343"/>
      <c r="M32" s="343"/>
      <c r="N32" s="343"/>
      <c r="O32" s="343"/>
      <c r="P32" s="344"/>
      <c r="Q32" s="318"/>
      <c r="R32" s="670">
        <f t="shared" si="4"/>
        <v>0</v>
      </c>
      <c r="S32" s="670">
        <f t="shared" si="5"/>
        <v>0</v>
      </c>
      <c r="T32" s="670">
        <f t="shared" si="6"/>
        <v>0</v>
      </c>
      <c r="U32" s="670">
        <f t="shared" si="7"/>
        <v>0</v>
      </c>
      <c r="V32" s="319"/>
      <c r="W32" s="670">
        <f t="shared" si="0"/>
        <v>0</v>
      </c>
      <c r="X32" s="670">
        <f t="shared" si="8"/>
        <v>0</v>
      </c>
      <c r="Y32" s="670">
        <f t="shared" si="2"/>
        <v>0</v>
      </c>
      <c r="Z32" s="670">
        <f t="shared" si="3"/>
        <v>0</v>
      </c>
      <c r="AA32" s="318"/>
      <c r="AB32" s="684"/>
      <c r="AC32" s="682" t="s">
        <v>620</v>
      </c>
      <c r="AD32" s="732">
        <v>7.4999999999999997E-2</v>
      </c>
      <c r="AE32" s="672"/>
      <c r="AF32" s="673"/>
      <c r="AG32" s="673"/>
      <c r="AH32" s="673"/>
      <c r="AI32" s="673"/>
      <c r="AJ32" s="673"/>
      <c r="AK32" s="673"/>
      <c r="AL32" s="673"/>
      <c r="AM32" s="672"/>
      <c r="AN32" s="697"/>
    </row>
    <row r="33" spans="1:40" ht="14.1" customHeight="1" x14ac:dyDescent="0.25">
      <c r="A33" s="326"/>
      <c r="B33" s="457">
        <v>20</v>
      </c>
      <c r="C33" s="455"/>
      <c r="D33" s="456"/>
      <c r="E33" s="533"/>
      <c r="F33" s="720"/>
      <c r="G33" s="721"/>
      <c r="H33" s="908"/>
      <c r="I33" s="538"/>
      <c r="J33" s="345"/>
      <c r="K33" s="343"/>
      <c r="L33" s="343"/>
      <c r="M33" s="343"/>
      <c r="N33" s="343"/>
      <c r="O33" s="343"/>
      <c r="P33" s="344"/>
      <c r="Q33" s="318"/>
      <c r="R33" s="670">
        <f t="shared" si="4"/>
        <v>0</v>
      </c>
      <c r="S33" s="670">
        <f t="shared" si="5"/>
        <v>0</v>
      </c>
      <c r="T33" s="670">
        <f t="shared" si="6"/>
        <v>0</v>
      </c>
      <c r="U33" s="670">
        <f t="shared" si="7"/>
        <v>0</v>
      </c>
      <c r="V33" s="319"/>
      <c r="W33" s="670">
        <f t="shared" si="0"/>
        <v>0</v>
      </c>
      <c r="X33" s="670">
        <f t="shared" si="8"/>
        <v>0</v>
      </c>
      <c r="Y33" s="670">
        <f t="shared" si="2"/>
        <v>0</v>
      </c>
      <c r="Z33" s="670">
        <f t="shared" si="3"/>
        <v>0</v>
      </c>
      <c r="AA33" s="318"/>
      <c r="AB33" s="684"/>
      <c r="AC33" s="672"/>
      <c r="AD33" s="878"/>
      <c r="AE33" s="672"/>
      <c r="AF33" s="673"/>
      <c r="AG33" s="673"/>
      <c r="AH33" s="673"/>
      <c r="AI33" s="673"/>
      <c r="AJ33" s="673"/>
      <c r="AK33" s="673"/>
      <c r="AL33" s="673"/>
      <c r="AM33" s="672"/>
      <c r="AN33" s="697"/>
    </row>
    <row r="34" spans="1:40" ht="14.1" customHeight="1" x14ac:dyDescent="0.25">
      <c r="A34" s="326"/>
      <c r="B34" s="457">
        <v>21</v>
      </c>
      <c r="C34" s="455"/>
      <c r="D34" s="456"/>
      <c r="E34" s="533"/>
      <c r="F34" s="720"/>
      <c r="G34" s="721"/>
      <c r="H34" s="908"/>
      <c r="I34" s="538"/>
      <c r="J34" s="345"/>
      <c r="K34" s="343"/>
      <c r="L34" s="343"/>
      <c r="M34" s="343"/>
      <c r="N34" s="343"/>
      <c r="O34" s="343"/>
      <c r="P34" s="344"/>
      <c r="Q34" s="318"/>
      <c r="R34" s="670">
        <f t="shared" si="4"/>
        <v>0</v>
      </c>
      <c r="S34" s="670">
        <f t="shared" si="5"/>
        <v>0</v>
      </c>
      <c r="T34" s="670">
        <f t="shared" si="6"/>
        <v>0</v>
      </c>
      <c r="U34" s="670">
        <f t="shared" si="7"/>
        <v>0</v>
      </c>
      <c r="V34" s="319"/>
      <c r="W34" s="670">
        <f t="shared" si="0"/>
        <v>0</v>
      </c>
      <c r="X34" s="670">
        <f t="shared" si="8"/>
        <v>0</v>
      </c>
      <c r="Y34" s="670">
        <f t="shared" si="2"/>
        <v>0</v>
      </c>
      <c r="Z34" s="670">
        <f t="shared" si="3"/>
        <v>0</v>
      </c>
      <c r="AA34" s="318"/>
      <c r="AB34" s="684"/>
      <c r="AC34" s="672"/>
      <c r="AD34" s="672"/>
      <c r="AE34" s="672"/>
      <c r="AF34" s="672"/>
      <c r="AG34" s="672"/>
      <c r="AH34" s="672"/>
      <c r="AI34" s="672"/>
      <c r="AJ34" s="672"/>
      <c r="AK34" s="672"/>
      <c r="AL34" s="672"/>
      <c r="AM34" s="672"/>
      <c r="AN34" s="697"/>
    </row>
    <row r="35" spans="1:40" ht="14.1" customHeight="1" x14ac:dyDescent="0.25">
      <c r="A35" s="326"/>
      <c r="B35" s="457">
        <v>22</v>
      </c>
      <c r="C35" s="455"/>
      <c r="D35" s="456"/>
      <c r="E35" s="533"/>
      <c r="F35" s="720"/>
      <c r="G35" s="721"/>
      <c r="H35" s="908"/>
      <c r="I35" s="538"/>
      <c r="J35" s="345"/>
      <c r="K35" s="343"/>
      <c r="L35" s="343"/>
      <c r="M35" s="343"/>
      <c r="N35" s="343"/>
      <c r="O35" s="343"/>
      <c r="P35" s="344"/>
      <c r="Q35" s="318"/>
      <c r="R35" s="670">
        <f t="shared" si="4"/>
        <v>0</v>
      </c>
      <c r="S35" s="670">
        <f t="shared" si="5"/>
        <v>0</v>
      </c>
      <c r="T35" s="670">
        <f t="shared" si="6"/>
        <v>0</v>
      </c>
      <c r="U35" s="670">
        <f t="shared" si="7"/>
        <v>0</v>
      </c>
      <c r="V35" s="319"/>
      <c r="W35" s="670">
        <f t="shared" si="0"/>
        <v>0</v>
      </c>
      <c r="X35" s="670">
        <f t="shared" si="8"/>
        <v>0</v>
      </c>
      <c r="Y35" s="670">
        <f t="shared" si="2"/>
        <v>0</v>
      </c>
      <c r="Z35" s="670">
        <f t="shared" si="3"/>
        <v>0</v>
      </c>
      <c r="AA35" s="318"/>
      <c r="AB35" s="684"/>
      <c r="AC35" s="673" t="s">
        <v>594</v>
      </c>
      <c r="AD35" s="673"/>
      <c r="AE35" s="673"/>
      <c r="AF35" s="673"/>
      <c r="AG35" s="673"/>
      <c r="AH35" s="673"/>
      <c r="AI35" s="673"/>
      <c r="AJ35" s="673"/>
      <c r="AK35" s="673"/>
      <c r="AL35" s="673"/>
      <c r="AM35" s="672"/>
      <c r="AN35" s="697"/>
    </row>
    <row r="36" spans="1:40" ht="14.1" customHeight="1" x14ac:dyDescent="0.25">
      <c r="A36" s="326"/>
      <c r="B36" s="457">
        <v>23</v>
      </c>
      <c r="C36" s="455"/>
      <c r="D36" s="456"/>
      <c r="E36" s="533"/>
      <c r="F36" s="720"/>
      <c r="G36" s="721"/>
      <c r="H36" s="908"/>
      <c r="I36" s="538"/>
      <c r="J36" s="345"/>
      <c r="K36" s="343"/>
      <c r="L36" s="343"/>
      <c r="M36" s="343"/>
      <c r="N36" s="343"/>
      <c r="O36" s="343"/>
      <c r="P36" s="344"/>
      <c r="Q36" s="318"/>
      <c r="R36" s="670">
        <f t="shared" si="4"/>
        <v>0</v>
      </c>
      <c r="S36" s="670">
        <f t="shared" si="5"/>
        <v>0</v>
      </c>
      <c r="T36" s="670">
        <f t="shared" si="6"/>
        <v>0</v>
      </c>
      <c r="U36" s="670">
        <f t="shared" si="7"/>
        <v>0</v>
      </c>
      <c r="V36" s="319"/>
      <c r="W36" s="670">
        <f t="shared" si="0"/>
        <v>0</v>
      </c>
      <c r="X36" s="670">
        <f t="shared" si="8"/>
        <v>0</v>
      </c>
      <c r="Y36" s="670">
        <f t="shared" si="2"/>
        <v>0</v>
      </c>
      <c r="Z36" s="670">
        <f t="shared" si="3"/>
        <v>0</v>
      </c>
      <c r="AA36" s="318"/>
      <c r="AB36" s="684"/>
      <c r="AC36" s="672"/>
      <c r="AD36" s="672"/>
      <c r="AE36" s="672"/>
      <c r="AF36" s="672"/>
      <c r="AG36" s="672"/>
      <c r="AH36" s="672"/>
      <c r="AI36" s="672"/>
      <c r="AJ36" s="672"/>
      <c r="AK36" s="672"/>
      <c r="AL36" s="672"/>
      <c r="AM36" s="672"/>
      <c r="AN36" s="697"/>
    </row>
    <row r="37" spans="1:40" ht="14.1" customHeight="1" x14ac:dyDescent="0.25">
      <c r="A37" s="326"/>
      <c r="B37" s="457">
        <v>24</v>
      </c>
      <c r="C37" s="455"/>
      <c r="D37" s="456"/>
      <c r="E37" s="533"/>
      <c r="F37" s="720"/>
      <c r="G37" s="721"/>
      <c r="H37" s="908"/>
      <c r="I37" s="538"/>
      <c r="J37" s="345"/>
      <c r="K37" s="343"/>
      <c r="L37" s="343"/>
      <c r="M37" s="343"/>
      <c r="N37" s="343"/>
      <c r="O37" s="343"/>
      <c r="P37" s="344"/>
      <c r="Q37" s="318"/>
      <c r="R37" s="670">
        <f t="shared" si="4"/>
        <v>0</v>
      </c>
      <c r="S37" s="670">
        <f t="shared" si="5"/>
        <v>0</v>
      </c>
      <c r="T37" s="670">
        <f t="shared" si="6"/>
        <v>0</v>
      </c>
      <c r="U37" s="670">
        <f t="shared" si="7"/>
        <v>0</v>
      </c>
      <c r="V37" s="319"/>
      <c r="W37" s="670">
        <f t="shared" si="0"/>
        <v>0</v>
      </c>
      <c r="X37" s="670">
        <f t="shared" si="8"/>
        <v>0</v>
      </c>
      <c r="Y37" s="670">
        <f t="shared" si="2"/>
        <v>0</v>
      </c>
      <c r="Z37" s="670">
        <f t="shared" si="3"/>
        <v>0</v>
      </c>
      <c r="AA37" s="318"/>
      <c r="AB37" s="684"/>
      <c r="AC37" s="673" t="s">
        <v>534</v>
      </c>
      <c r="AD37" s="672"/>
      <c r="AE37" s="672"/>
      <c r="AF37" s="679"/>
      <c r="AG37" s="679"/>
      <c r="AH37" s="679"/>
      <c r="AI37" s="679"/>
      <c r="AJ37" s="679"/>
      <c r="AK37" s="702"/>
      <c r="AL37" s="702"/>
      <c r="AM37" s="702"/>
      <c r="AN37" s="704"/>
    </row>
    <row r="38" spans="1:40" ht="14.1" customHeight="1" x14ac:dyDescent="0.25">
      <c r="A38" s="326"/>
      <c r="B38" s="457">
        <v>25</v>
      </c>
      <c r="C38" s="338"/>
      <c r="D38" s="339"/>
      <c r="E38" s="543"/>
      <c r="F38" s="722"/>
      <c r="G38" s="723"/>
      <c r="H38" s="909"/>
      <c r="I38" s="538"/>
      <c r="J38" s="346"/>
      <c r="K38" s="343"/>
      <c r="L38" s="343"/>
      <c r="M38" s="343"/>
      <c r="N38" s="343"/>
      <c r="O38" s="343"/>
      <c r="P38" s="344"/>
      <c r="Q38" s="318"/>
      <c r="R38" s="670">
        <f t="shared" si="4"/>
        <v>0</v>
      </c>
      <c r="S38" s="670">
        <f t="shared" si="5"/>
        <v>0</v>
      </c>
      <c r="T38" s="670">
        <f t="shared" si="6"/>
        <v>0</v>
      </c>
      <c r="U38" s="670">
        <f t="shared" si="7"/>
        <v>0</v>
      </c>
      <c r="V38" s="319"/>
      <c r="W38" s="670">
        <f t="shared" si="0"/>
        <v>0</v>
      </c>
      <c r="X38" s="670">
        <f t="shared" si="8"/>
        <v>0</v>
      </c>
      <c r="Y38" s="670">
        <f t="shared" si="2"/>
        <v>0</v>
      </c>
      <c r="Z38" s="670">
        <f t="shared" si="3"/>
        <v>0</v>
      </c>
      <c r="AA38" s="318"/>
      <c r="AB38" s="684"/>
      <c r="AC38" s="792" t="s">
        <v>562</v>
      </c>
      <c r="AD38" s="732">
        <v>0.1</v>
      </c>
      <c r="AE38" s="672"/>
      <c r="AF38" s="679"/>
      <c r="AG38" s="679"/>
      <c r="AH38" s="679"/>
      <c r="AI38" s="679"/>
      <c r="AJ38" s="679"/>
      <c r="AK38" s="702"/>
      <c r="AL38" s="702"/>
      <c r="AM38" s="702"/>
      <c r="AN38" s="704"/>
    </row>
    <row r="39" spans="1:40" ht="14.1" customHeight="1" x14ac:dyDescent="0.25">
      <c r="A39" s="326"/>
      <c r="B39" s="457">
        <v>26</v>
      </c>
      <c r="C39" s="347"/>
      <c r="D39" s="339"/>
      <c r="E39" s="543"/>
      <c r="F39" s="722"/>
      <c r="G39" s="723"/>
      <c r="H39" s="908"/>
      <c r="I39" s="538"/>
      <c r="J39" s="346"/>
      <c r="K39" s="343"/>
      <c r="L39" s="343"/>
      <c r="M39" s="343"/>
      <c r="N39" s="343"/>
      <c r="O39" s="343"/>
      <c r="P39" s="344"/>
      <c r="Q39" s="318"/>
      <c r="R39" s="670">
        <f t="shared" si="4"/>
        <v>0</v>
      </c>
      <c r="S39" s="670">
        <f t="shared" si="5"/>
        <v>0</v>
      </c>
      <c r="T39" s="670">
        <f t="shared" si="6"/>
        <v>0</v>
      </c>
      <c r="U39" s="670">
        <f t="shared" si="7"/>
        <v>0</v>
      </c>
      <c r="V39" s="319"/>
      <c r="W39" s="670">
        <f t="shared" si="0"/>
        <v>0</v>
      </c>
      <c r="X39" s="670">
        <f t="shared" si="8"/>
        <v>0</v>
      </c>
      <c r="Y39" s="670">
        <f t="shared" si="2"/>
        <v>0</v>
      </c>
      <c r="Z39" s="670">
        <f t="shared" si="3"/>
        <v>0</v>
      </c>
      <c r="AA39" s="318"/>
      <c r="AB39" s="684"/>
      <c r="AC39" s="797" t="s">
        <v>538</v>
      </c>
      <c r="AD39" s="732">
        <v>0.15</v>
      </c>
      <c r="AE39" s="672"/>
      <c r="AF39" s="679"/>
      <c r="AG39" s="679"/>
      <c r="AH39" s="679"/>
      <c r="AI39" s="679"/>
      <c r="AJ39" s="679"/>
      <c r="AK39" s="702"/>
      <c r="AL39" s="702"/>
      <c r="AM39" s="702"/>
      <c r="AN39" s="704"/>
    </row>
    <row r="40" spans="1:40" ht="14.1" customHeight="1" x14ac:dyDescent="0.25">
      <c r="A40" s="326"/>
      <c r="B40" s="457">
        <v>27</v>
      </c>
      <c r="C40" s="347"/>
      <c r="D40" s="339"/>
      <c r="E40" s="543"/>
      <c r="F40" s="722"/>
      <c r="G40" s="723"/>
      <c r="H40" s="908"/>
      <c r="I40" s="538"/>
      <c r="J40" s="346"/>
      <c r="K40" s="343"/>
      <c r="L40" s="343"/>
      <c r="M40" s="343"/>
      <c r="N40" s="343"/>
      <c r="O40" s="343"/>
      <c r="P40" s="344"/>
      <c r="Q40" s="318"/>
      <c r="R40" s="670">
        <f t="shared" si="4"/>
        <v>0</v>
      </c>
      <c r="S40" s="670">
        <f t="shared" si="5"/>
        <v>0</v>
      </c>
      <c r="T40" s="670">
        <f t="shared" si="6"/>
        <v>0</v>
      </c>
      <c r="U40" s="670">
        <f t="shared" si="7"/>
        <v>0</v>
      </c>
      <c r="V40" s="319"/>
      <c r="W40" s="670">
        <f t="shared" si="0"/>
        <v>0</v>
      </c>
      <c r="X40" s="670">
        <f t="shared" si="8"/>
        <v>0</v>
      </c>
      <c r="Y40" s="670">
        <f t="shared" si="2"/>
        <v>0</v>
      </c>
      <c r="Z40" s="670">
        <f t="shared" si="3"/>
        <v>0</v>
      </c>
      <c r="AA40" s="318"/>
      <c r="AB40" s="684"/>
      <c r="AC40" s="797" t="s">
        <v>567</v>
      </c>
      <c r="AD40" s="732">
        <v>0</v>
      </c>
      <c r="AE40" s="672"/>
      <c r="AF40" s="679"/>
      <c r="AG40" s="679"/>
      <c r="AH40" s="679"/>
      <c r="AI40" s="679"/>
      <c r="AJ40" s="679"/>
      <c r="AK40" s="702"/>
      <c r="AL40" s="702"/>
      <c r="AM40" s="702"/>
      <c r="AN40" s="704"/>
    </row>
    <row r="41" spans="1:40" ht="14.1" customHeight="1" x14ac:dyDescent="0.25">
      <c r="A41" s="326"/>
      <c r="B41" s="457">
        <v>28</v>
      </c>
      <c r="C41" s="347"/>
      <c r="D41" s="339"/>
      <c r="E41" s="543"/>
      <c r="F41" s="722"/>
      <c r="G41" s="723"/>
      <c r="H41" s="910"/>
      <c r="I41" s="538"/>
      <c r="J41" s="349"/>
      <c r="K41" s="350"/>
      <c r="L41" s="350"/>
      <c r="M41" s="350"/>
      <c r="N41" s="350"/>
      <c r="O41" s="350"/>
      <c r="P41" s="351"/>
      <c r="Q41" s="318"/>
      <c r="R41" s="670">
        <f t="shared" si="4"/>
        <v>0</v>
      </c>
      <c r="S41" s="670">
        <f t="shared" si="5"/>
        <v>0</v>
      </c>
      <c r="T41" s="670">
        <f t="shared" si="6"/>
        <v>0</v>
      </c>
      <c r="U41" s="670">
        <f t="shared" si="7"/>
        <v>0</v>
      </c>
      <c r="V41" s="319"/>
      <c r="W41" s="670">
        <f t="shared" si="0"/>
        <v>0</v>
      </c>
      <c r="X41" s="670">
        <f t="shared" si="8"/>
        <v>0</v>
      </c>
      <c r="Y41" s="670">
        <f t="shared" si="2"/>
        <v>0</v>
      </c>
      <c r="Z41" s="670">
        <f t="shared" si="3"/>
        <v>0</v>
      </c>
      <c r="AA41" s="318"/>
      <c r="AB41" s="684"/>
      <c r="AC41" s="797" t="s">
        <v>568</v>
      </c>
      <c r="AD41" s="732">
        <v>0</v>
      </c>
      <c r="AE41" s="672"/>
      <c r="AF41" s="679"/>
      <c r="AG41" s="679"/>
      <c r="AH41" s="679"/>
      <c r="AI41" s="679"/>
      <c r="AJ41" s="679"/>
      <c r="AK41" s="702"/>
      <c r="AL41" s="702"/>
      <c r="AM41" s="702"/>
      <c r="AN41" s="704"/>
    </row>
    <row r="42" spans="1:40" ht="14.1" customHeight="1" x14ac:dyDescent="0.25">
      <c r="A42" s="326"/>
      <c r="B42" s="457">
        <v>29</v>
      </c>
      <c r="C42" s="347"/>
      <c r="D42" s="339"/>
      <c r="E42" s="543"/>
      <c r="F42" s="722"/>
      <c r="G42" s="723"/>
      <c r="H42" s="911"/>
      <c r="I42" s="538"/>
      <c r="J42" s="349"/>
      <c r="K42" s="350"/>
      <c r="L42" s="350"/>
      <c r="M42" s="350"/>
      <c r="N42" s="350"/>
      <c r="O42" s="350"/>
      <c r="P42" s="351"/>
      <c r="Q42" s="318"/>
      <c r="R42" s="670">
        <f t="shared" si="4"/>
        <v>0</v>
      </c>
      <c r="S42" s="670">
        <f t="shared" si="5"/>
        <v>0</v>
      </c>
      <c r="T42" s="670">
        <f t="shared" si="6"/>
        <v>0</v>
      </c>
      <c r="U42" s="670">
        <f t="shared" si="7"/>
        <v>0</v>
      </c>
      <c r="V42" s="319"/>
      <c r="W42" s="670">
        <f t="shared" si="0"/>
        <v>0</v>
      </c>
      <c r="X42" s="670">
        <f t="shared" si="8"/>
        <v>0</v>
      </c>
      <c r="Y42" s="670">
        <f t="shared" si="2"/>
        <v>0</v>
      </c>
      <c r="Z42" s="670">
        <f t="shared" si="3"/>
        <v>0</v>
      </c>
      <c r="AA42" s="318"/>
      <c r="AB42" s="684"/>
      <c r="AC42" s="672"/>
      <c r="AD42" s="672"/>
      <c r="AE42" s="672"/>
      <c r="AF42" s="679"/>
      <c r="AG42" s="679"/>
      <c r="AH42" s="679"/>
      <c r="AI42" s="679"/>
      <c r="AJ42" s="679"/>
      <c r="AK42" s="702"/>
      <c r="AL42" s="702"/>
      <c r="AM42" s="702"/>
      <c r="AN42" s="704"/>
    </row>
    <row r="43" spans="1:40" ht="14.1" customHeight="1" x14ac:dyDescent="0.25">
      <c r="A43" s="326"/>
      <c r="B43" s="457">
        <v>30</v>
      </c>
      <c r="C43" s="347"/>
      <c r="D43" s="339"/>
      <c r="E43" s="543"/>
      <c r="F43" s="722"/>
      <c r="G43" s="723"/>
      <c r="H43" s="910"/>
      <c r="I43" s="538"/>
      <c r="J43" s="349"/>
      <c r="K43" s="350"/>
      <c r="L43" s="350"/>
      <c r="M43" s="350"/>
      <c r="N43" s="350"/>
      <c r="O43" s="350"/>
      <c r="P43" s="351"/>
      <c r="Q43" s="318"/>
      <c r="R43" s="670">
        <f t="shared" si="4"/>
        <v>0</v>
      </c>
      <c r="S43" s="670">
        <f t="shared" si="5"/>
        <v>0</v>
      </c>
      <c r="T43" s="670">
        <f t="shared" si="6"/>
        <v>0</v>
      </c>
      <c r="U43" s="670">
        <f t="shared" si="7"/>
        <v>0</v>
      </c>
      <c r="V43" s="319"/>
      <c r="W43" s="670">
        <f t="shared" si="0"/>
        <v>0</v>
      </c>
      <c r="X43" s="670">
        <f t="shared" si="8"/>
        <v>0</v>
      </c>
      <c r="Y43" s="670">
        <f t="shared" si="2"/>
        <v>0</v>
      </c>
      <c r="Z43" s="670">
        <f t="shared" si="3"/>
        <v>0</v>
      </c>
      <c r="AA43" s="318"/>
      <c r="AB43" s="684"/>
      <c r="AC43" s="673" t="s">
        <v>593</v>
      </c>
      <c r="AD43" s="672"/>
      <c r="AE43" s="672"/>
      <c r="AF43" s="679"/>
      <c r="AG43" s="679"/>
      <c r="AH43" s="679"/>
      <c r="AI43" s="679"/>
      <c r="AJ43" s="679"/>
      <c r="AK43" s="702"/>
      <c r="AL43" s="702"/>
      <c r="AM43" s="702"/>
      <c r="AN43" s="704"/>
    </row>
    <row r="44" spans="1:40" ht="14.1" customHeight="1" thickBot="1" x14ac:dyDescent="0.3">
      <c r="A44" s="326"/>
      <c r="B44" s="457"/>
      <c r="C44" s="713"/>
      <c r="D44" s="714"/>
      <c r="E44" s="715"/>
      <c r="F44" s="724"/>
      <c r="G44" s="725"/>
      <c r="H44" s="912"/>
      <c r="I44" s="716"/>
      <c r="J44" s="349"/>
      <c r="K44" s="350"/>
      <c r="L44" s="350"/>
      <c r="M44" s="350"/>
      <c r="N44" s="350"/>
      <c r="O44" s="350"/>
      <c r="P44" s="351"/>
      <c r="Q44" s="318"/>
      <c r="R44" s="670">
        <f t="shared" si="4"/>
        <v>0</v>
      </c>
      <c r="S44" s="670">
        <f t="shared" si="5"/>
        <v>0</v>
      </c>
      <c r="T44" s="670">
        <f t="shared" si="6"/>
        <v>0</v>
      </c>
      <c r="U44" s="670">
        <f t="shared" si="7"/>
        <v>0</v>
      </c>
      <c r="V44" s="319"/>
      <c r="W44" s="670">
        <f t="shared" si="0"/>
        <v>0</v>
      </c>
      <c r="X44" s="670">
        <f t="shared" si="8"/>
        <v>0</v>
      </c>
      <c r="Y44" s="670">
        <f t="shared" si="2"/>
        <v>0</v>
      </c>
      <c r="Z44" s="670">
        <f t="shared" si="3"/>
        <v>0</v>
      </c>
      <c r="AA44" s="318"/>
      <c r="AB44" s="684"/>
      <c r="AC44" s="957" t="s">
        <v>600</v>
      </c>
      <c r="AD44" s="957"/>
      <c r="AE44" s="957"/>
      <c r="AF44" s="957"/>
      <c r="AG44" s="958">
        <v>0.15</v>
      </c>
      <c r="AH44" s="679"/>
      <c r="AI44" s="679"/>
      <c r="AJ44" s="679"/>
      <c r="AK44" s="702"/>
      <c r="AL44" s="702"/>
      <c r="AM44" s="702"/>
      <c r="AN44" s="704"/>
    </row>
    <row r="45" spans="1:40" ht="14.1" customHeight="1" thickBot="1" x14ac:dyDescent="0.25">
      <c r="A45" s="326"/>
      <c r="B45" s="798"/>
      <c r="C45" s="798"/>
      <c r="D45" s="799" t="s">
        <v>401</v>
      </c>
      <c r="E45" s="800">
        <f>SUM(E14:E44)</f>
        <v>1790</v>
      </c>
      <c r="F45" s="1050" t="s">
        <v>621</v>
      </c>
      <c r="G45" s="1051"/>
      <c r="H45" s="1051"/>
      <c r="I45" s="1051"/>
      <c r="J45" s="1052"/>
      <c r="K45" s="801">
        <f t="shared" ref="K45:P45" si="9">SUM(K14:K44)</f>
        <v>0</v>
      </c>
      <c r="L45" s="801">
        <f t="shared" si="9"/>
        <v>0</v>
      </c>
      <c r="M45" s="801">
        <f t="shared" si="9"/>
        <v>0</v>
      </c>
      <c r="N45" s="801">
        <f t="shared" si="9"/>
        <v>0</v>
      </c>
      <c r="O45" s="801">
        <f t="shared" si="9"/>
        <v>6221.6500000000005</v>
      </c>
      <c r="P45" s="802">
        <f t="shared" si="9"/>
        <v>0</v>
      </c>
      <c r="Q45" s="318"/>
      <c r="R45" s="671">
        <f>SUM(R14:R44)</f>
        <v>0</v>
      </c>
      <c r="S45" s="671">
        <f>SUM(S14:S44)</f>
        <v>0</v>
      </c>
      <c r="T45" s="671">
        <f>SUM(T14:T44)</f>
        <v>0</v>
      </c>
      <c r="U45" s="671">
        <f>SUM(U14:U44)</f>
        <v>0</v>
      </c>
      <c r="V45" s="319"/>
      <c r="W45" s="491">
        <f>SUM(W14:W44)</f>
        <v>6877.067500000001</v>
      </c>
      <c r="X45" s="491">
        <f>SUM(X14:X44)</f>
        <v>6900.2725000000009</v>
      </c>
      <c r="Y45" s="491">
        <f>SUM(Y14:Y44)</f>
        <v>7277.7755000000016</v>
      </c>
      <c r="Z45" s="491">
        <f>SUM(Z14:Z44)</f>
        <v>7402.2085000000006</v>
      </c>
      <c r="AA45" s="318"/>
      <c r="AB45" s="684"/>
      <c r="AC45" s="673"/>
      <c r="AD45" s="672"/>
      <c r="AE45" s="672"/>
      <c r="AF45" s="679"/>
      <c r="AG45" s="679"/>
      <c r="AH45" s="679"/>
      <c r="AI45" s="679"/>
      <c r="AJ45" s="679"/>
      <c r="AK45" s="702"/>
      <c r="AL45" s="702"/>
      <c r="AM45" s="702"/>
      <c r="AN45" s="704"/>
    </row>
    <row r="46" spans="1:40" ht="14.1" customHeight="1" thickBot="1" x14ac:dyDescent="0.25">
      <c r="A46" s="326"/>
      <c r="B46" s="318"/>
      <c r="C46" s="803"/>
      <c r="D46" s="804"/>
      <c r="E46" s="776"/>
      <c r="F46" s="776"/>
      <c r="G46" s="805"/>
      <c r="H46" s="805"/>
      <c r="I46" s="658"/>
      <c r="J46" s="782"/>
      <c r="K46" s="318"/>
      <c r="L46" s="806" t="s">
        <v>481</v>
      </c>
      <c r="M46" s="807">
        <f>SUM(K45:M45)</f>
        <v>0</v>
      </c>
      <c r="N46" s="318"/>
      <c r="O46" s="806" t="s">
        <v>481</v>
      </c>
      <c r="P46" s="807">
        <f>SUM(N45:P45)</f>
        <v>6221.6500000000005</v>
      </c>
      <c r="Q46" s="318"/>
      <c r="R46" s="318"/>
      <c r="S46" s="318"/>
      <c r="T46" s="318"/>
      <c r="U46" s="318"/>
      <c r="V46" s="319"/>
      <c r="W46" s="318"/>
      <c r="X46" s="318"/>
      <c r="Y46" s="318"/>
      <c r="Z46" s="318"/>
      <c r="AA46" s="318"/>
      <c r="AB46" s="684"/>
      <c r="AC46" s="673"/>
      <c r="AD46" s="672"/>
      <c r="AE46" s="672"/>
      <c r="AF46" s="679"/>
      <c r="AG46" s="679"/>
      <c r="AH46" s="679"/>
      <c r="AI46" s="679"/>
      <c r="AJ46" s="679"/>
      <c r="AK46" s="702"/>
      <c r="AL46" s="702"/>
      <c r="AM46" s="702"/>
      <c r="AN46" s="704"/>
    </row>
    <row r="47" spans="1:40" ht="14.1" customHeight="1" x14ac:dyDescent="0.2">
      <c r="B47" s="318"/>
      <c r="C47" s="803"/>
      <c r="D47" s="804"/>
      <c r="E47" s="776"/>
      <c r="F47" s="776"/>
      <c r="G47" s="805"/>
      <c r="H47" s="549"/>
      <c r="V47" s="341"/>
      <c r="AB47" s="684"/>
      <c r="AC47" s="673" t="s">
        <v>470</v>
      </c>
      <c r="AD47" s="672"/>
      <c r="AE47" s="672"/>
      <c r="AF47" s="703"/>
      <c r="AG47" s="703"/>
      <c r="AH47" s="703"/>
      <c r="AI47" s="703"/>
      <c r="AJ47" s="703"/>
      <c r="AK47" s="726"/>
      <c r="AL47" s="703"/>
      <c r="AM47" s="703"/>
      <c r="AN47" s="705"/>
    </row>
    <row r="48" spans="1:40" ht="14.1" customHeight="1" thickBot="1" x14ac:dyDescent="0.25">
      <c r="B48" s="318"/>
      <c r="C48" s="803"/>
      <c r="D48" s="804"/>
      <c r="E48" s="776"/>
      <c r="F48" s="776"/>
      <c r="G48" s="805"/>
      <c r="H48" s="549"/>
      <c r="V48" s="341"/>
      <c r="AB48" s="684"/>
      <c r="AC48" s="792" t="s">
        <v>562</v>
      </c>
      <c r="AD48" s="732">
        <v>0</v>
      </c>
      <c r="AE48" s="672"/>
      <c r="AF48" s="703"/>
      <c r="AG48" s="703"/>
      <c r="AH48" s="703"/>
      <c r="AI48" s="703"/>
      <c r="AJ48" s="703"/>
      <c r="AK48" s="703"/>
      <c r="AL48" s="703"/>
      <c r="AM48" s="703"/>
      <c r="AN48" s="705"/>
    </row>
    <row r="49" spans="1:40" ht="15.95" customHeight="1" thickBot="1" x14ac:dyDescent="0.25">
      <c r="B49" s="318"/>
      <c r="C49" s="318"/>
      <c r="D49" s="1053" t="s">
        <v>430</v>
      </c>
      <c r="E49" s="1054"/>
      <c r="F49" s="1054"/>
      <c r="G49" s="1055"/>
      <c r="AB49" s="684"/>
      <c r="AC49" s="797" t="s">
        <v>538</v>
      </c>
      <c r="AD49" s="732">
        <v>7.4999999999999997E-2</v>
      </c>
      <c r="AE49" s="672"/>
      <c r="AF49" s="703"/>
      <c r="AG49" s="703"/>
      <c r="AH49" s="703"/>
      <c r="AI49" s="703"/>
      <c r="AJ49" s="703"/>
      <c r="AK49" s="703"/>
      <c r="AL49" s="703"/>
      <c r="AM49" s="703"/>
      <c r="AN49" s="705"/>
    </row>
    <row r="50" spans="1:40" ht="14.1" customHeight="1" thickBot="1" x14ac:dyDescent="0.25">
      <c r="A50" s="364"/>
      <c r="B50" s="803"/>
      <c r="C50" s="318"/>
      <c r="D50" s="808" t="s">
        <v>11</v>
      </c>
      <c r="E50" s="809" t="s">
        <v>397</v>
      </c>
      <c r="F50" s="810" t="s">
        <v>396</v>
      </c>
      <c r="G50" s="811" t="s">
        <v>488</v>
      </c>
      <c r="H50" s="812" t="s">
        <v>466</v>
      </c>
      <c r="I50" s="812"/>
      <c r="J50" s="813"/>
      <c r="K50" s="813"/>
      <c r="L50" s="813"/>
      <c r="M50" s="814"/>
      <c r="AB50" s="684"/>
      <c r="AC50" s="797" t="s">
        <v>567</v>
      </c>
      <c r="AD50" s="732">
        <v>0.15</v>
      </c>
      <c r="AE50" s="672"/>
      <c r="AF50" s="703"/>
      <c r="AG50" s="703"/>
      <c r="AH50" s="703"/>
      <c r="AI50" s="703"/>
      <c r="AJ50" s="703"/>
      <c r="AK50" s="703"/>
      <c r="AL50" s="703"/>
      <c r="AM50" s="703"/>
      <c r="AN50" s="705"/>
    </row>
    <row r="51" spans="1:40" ht="14.1" customHeight="1" x14ac:dyDescent="0.2">
      <c r="A51" s="364"/>
      <c r="B51" s="803"/>
      <c r="C51" s="318"/>
      <c r="D51" s="369" t="s">
        <v>3</v>
      </c>
      <c r="E51" s="555"/>
      <c r="F51" s="815"/>
      <c r="G51" s="816">
        <f>E45</f>
        <v>1790</v>
      </c>
      <c r="H51" s="817" t="s">
        <v>415</v>
      </c>
      <c r="I51" s="817"/>
      <c r="J51" s="818"/>
      <c r="K51" s="818"/>
      <c r="L51" s="818"/>
      <c r="M51" s="819"/>
      <c r="V51" s="332"/>
      <c r="AB51" s="684"/>
      <c r="AC51" s="797" t="s">
        <v>568</v>
      </c>
      <c r="AD51" s="732">
        <v>0.15</v>
      </c>
      <c r="AE51" s="672"/>
      <c r="AF51" s="703"/>
      <c r="AG51" s="703"/>
      <c r="AH51" s="703"/>
      <c r="AI51" s="703"/>
      <c r="AJ51" s="703"/>
      <c r="AK51" s="703"/>
      <c r="AL51" s="703"/>
      <c r="AM51" s="703"/>
      <c r="AN51" s="705"/>
    </row>
    <row r="52" spans="1:40" ht="14.1" customHeight="1" x14ac:dyDescent="0.2">
      <c r="A52" s="364"/>
      <c r="B52" s="803"/>
      <c r="C52" s="318"/>
      <c r="D52" s="373" t="s">
        <v>91</v>
      </c>
      <c r="E52" s="560"/>
      <c r="F52" s="742">
        <f>K54</f>
        <v>40</v>
      </c>
      <c r="G52" s="820">
        <f>G51*F52</f>
        <v>71600</v>
      </c>
      <c r="H52" s="821" t="s">
        <v>574</v>
      </c>
      <c r="I52" s="821"/>
      <c r="J52" s="822"/>
      <c r="K52" s="822"/>
      <c r="L52" s="822"/>
      <c r="M52" s="823"/>
      <c r="V52" s="332"/>
      <c r="AB52" s="684"/>
      <c r="AC52" s="676"/>
      <c r="AD52" s="681"/>
      <c r="AE52" s="672"/>
      <c r="AF52" s="703"/>
      <c r="AG52" s="703"/>
      <c r="AH52" s="703"/>
      <c r="AI52" s="703"/>
      <c r="AJ52" s="703"/>
      <c r="AK52" s="703"/>
      <c r="AL52" s="703"/>
      <c r="AM52" s="703"/>
      <c r="AN52" s="705"/>
    </row>
    <row r="53" spans="1:40" ht="14.1" customHeight="1" x14ac:dyDescent="0.25">
      <c r="A53" s="364"/>
      <c r="B53" s="803"/>
      <c r="C53" s="318"/>
      <c r="D53" s="373" t="s">
        <v>626</v>
      </c>
      <c r="E53" s="565">
        <v>15</v>
      </c>
      <c r="F53" s="824">
        <v>4500</v>
      </c>
      <c r="G53" s="820">
        <f t="shared" ref="G53:G60" si="10">E53*F53</f>
        <v>67500</v>
      </c>
      <c r="H53" s="821"/>
      <c r="I53" s="821"/>
      <c r="J53" s="822"/>
      <c r="K53" s="822"/>
      <c r="L53" s="822"/>
      <c r="M53" s="823"/>
      <c r="V53" s="332"/>
      <c r="AB53" s="684"/>
      <c r="AC53" s="672"/>
      <c r="AD53" s="672"/>
      <c r="AE53" s="672"/>
      <c r="AF53" s="672"/>
      <c r="AG53" s="672"/>
      <c r="AH53" s="672"/>
      <c r="AI53" s="672"/>
      <c r="AJ53" s="672"/>
      <c r="AK53" s="672"/>
      <c r="AL53" s="672"/>
      <c r="AM53" s="672"/>
      <c r="AN53" s="697"/>
    </row>
    <row r="54" spans="1:40" ht="14.1" customHeight="1" x14ac:dyDescent="0.2">
      <c r="A54" s="364"/>
      <c r="B54" s="803"/>
      <c r="C54" s="318"/>
      <c r="D54" s="379" t="s">
        <v>88</v>
      </c>
      <c r="E54" s="568">
        <v>0</v>
      </c>
      <c r="F54" s="824">
        <v>4000</v>
      </c>
      <c r="G54" s="820">
        <f t="shared" si="10"/>
        <v>0</v>
      </c>
      <c r="H54" s="821"/>
      <c r="I54" s="825" t="s">
        <v>409</v>
      </c>
      <c r="J54" s="826"/>
      <c r="K54" s="956">
        <v>40</v>
      </c>
      <c r="L54" s="822"/>
      <c r="M54" s="823"/>
      <c r="V54" s="332"/>
      <c r="AB54" s="684"/>
      <c r="AC54" s="672" t="s">
        <v>483</v>
      </c>
      <c r="AD54" s="672"/>
      <c r="AE54" s="672"/>
      <c r="AF54" s="672"/>
      <c r="AG54" s="672"/>
      <c r="AH54" s="672"/>
      <c r="AI54" s="672"/>
      <c r="AJ54" s="672"/>
      <c r="AK54" s="672"/>
      <c r="AL54" s="672"/>
      <c r="AM54" s="672"/>
      <c r="AN54" s="697"/>
    </row>
    <row r="55" spans="1:40" ht="14.1" customHeight="1" x14ac:dyDescent="0.2">
      <c r="A55" s="364"/>
      <c r="B55" s="803"/>
      <c r="C55" s="318"/>
      <c r="D55" s="379" t="s">
        <v>87</v>
      </c>
      <c r="E55" s="568">
        <v>0</v>
      </c>
      <c r="F55" s="743">
        <v>8000</v>
      </c>
      <c r="G55" s="820">
        <f t="shared" si="10"/>
        <v>0</v>
      </c>
      <c r="H55" s="821"/>
      <c r="I55" s="825" t="s">
        <v>585</v>
      </c>
      <c r="J55" s="826"/>
      <c r="K55" s="956">
        <v>45</v>
      </c>
      <c r="L55" s="822"/>
      <c r="M55" s="823"/>
      <c r="V55" s="332"/>
      <c r="AB55" s="684"/>
      <c r="AC55" s="672"/>
      <c r="AD55" s="672"/>
      <c r="AE55" s="680"/>
      <c r="AF55" s="680" t="s">
        <v>482</v>
      </c>
      <c r="AG55" s="680"/>
      <c r="AH55" s="680"/>
      <c r="AI55" s="680"/>
      <c r="AJ55" s="680"/>
      <c r="AK55" s="681">
        <v>0</v>
      </c>
      <c r="AL55" s="672"/>
      <c r="AM55" s="672"/>
      <c r="AN55" s="697"/>
    </row>
    <row r="56" spans="1:40" ht="14.1" customHeight="1" x14ac:dyDescent="0.2">
      <c r="A56" s="364"/>
      <c r="B56" s="803"/>
      <c r="C56" s="318"/>
      <c r="D56" s="379" t="s">
        <v>611</v>
      </c>
      <c r="E56" s="568">
        <v>0</v>
      </c>
      <c r="F56" s="743">
        <v>6000</v>
      </c>
      <c r="G56" s="820">
        <f t="shared" si="10"/>
        <v>0</v>
      </c>
      <c r="H56" s="821"/>
      <c r="I56" s="825" t="s">
        <v>97</v>
      </c>
      <c r="J56" s="826"/>
      <c r="K56" s="956">
        <v>65</v>
      </c>
      <c r="L56" s="822"/>
      <c r="M56" s="823"/>
      <c r="V56" s="332"/>
      <c r="AB56" s="684"/>
      <c r="AC56" s="672"/>
      <c r="AD56" s="672"/>
      <c r="AE56" s="672"/>
      <c r="AF56" s="672"/>
      <c r="AG56" s="672"/>
      <c r="AH56" s="672"/>
      <c r="AI56" s="672"/>
      <c r="AJ56" s="672"/>
      <c r="AK56" s="672"/>
      <c r="AL56" s="672"/>
      <c r="AM56" s="672"/>
      <c r="AN56" s="697"/>
    </row>
    <row r="57" spans="1:40" ht="14.1" customHeight="1" x14ac:dyDescent="0.2">
      <c r="A57" s="364"/>
      <c r="B57" s="803"/>
      <c r="C57" s="318"/>
      <c r="D57" s="373" t="s">
        <v>390</v>
      </c>
      <c r="E57" s="568">
        <v>0</v>
      </c>
      <c r="F57" s="824">
        <v>1000</v>
      </c>
      <c r="G57" s="820">
        <f t="shared" si="10"/>
        <v>0</v>
      </c>
      <c r="H57" s="821"/>
      <c r="I57" s="952" t="s">
        <v>610</v>
      </c>
      <c r="J57" s="953"/>
      <c r="K57" s="956">
        <v>65</v>
      </c>
      <c r="L57" s="822"/>
      <c r="M57" s="823"/>
      <c r="V57" s="332"/>
      <c r="AB57" s="684"/>
      <c r="AC57" s="673" t="s">
        <v>484</v>
      </c>
      <c r="AD57" s="672"/>
      <c r="AE57" s="672"/>
      <c r="AF57" s="672"/>
      <c r="AG57" s="672"/>
      <c r="AH57" s="672"/>
      <c r="AI57" s="672"/>
      <c r="AJ57" s="672"/>
      <c r="AK57" s="672"/>
      <c r="AL57" s="672"/>
      <c r="AM57" s="672"/>
      <c r="AN57" s="697"/>
    </row>
    <row r="58" spans="1:40" ht="14.1" customHeight="1" x14ac:dyDescent="0.2">
      <c r="A58" s="364"/>
      <c r="B58" s="803"/>
      <c r="C58" s="318"/>
      <c r="D58" s="373" t="s">
        <v>612</v>
      </c>
      <c r="E58" s="568">
        <v>0</v>
      </c>
      <c r="F58" s="824">
        <v>1500</v>
      </c>
      <c r="G58" s="820">
        <f t="shared" si="10"/>
        <v>0</v>
      </c>
      <c r="H58" s="821"/>
      <c r="I58" s="952" t="s">
        <v>609</v>
      </c>
      <c r="J58" s="953"/>
      <c r="K58" s="956">
        <v>85</v>
      </c>
      <c r="L58" s="822"/>
      <c r="M58" s="823"/>
      <c r="V58" s="332"/>
      <c r="AB58" s="684"/>
      <c r="AC58" s="672" t="s">
        <v>485</v>
      </c>
      <c r="AD58" s="672"/>
      <c r="AE58" s="672"/>
      <c r="AF58" s="672"/>
      <c r="AG58" s="672"/>
      <c r="AH58" s="672"/>
      <c r="AI58" s="672"/>
      <c r="AJ58" s="672"/>
      <c r="AK58" s="681">
        <v>0</v>
      </c>
      <c r="AL58" s="672"/>
      <c r="AM58" s="672"/>
      <c r="AN58" s="697"/>
    </row>
    <row r="59" spans="1:40" ht="14.1" customHeight="1" x14ac:dyDescent="0.2">
      <c r="A59" s="364"/>
      <c r="B59" s="803"/>
      <c r="C59" s="318"/>
      <c r="D59" s="373" t="s">
        <v>613</v>
      </c>
      <c r="E59" s="568">
        <v>0</v>
      </c>
      <c r="F59" s="824">
        <v>2250</v>
      </c>
      <c r="G59" s="820">
        <f t="shared" si="10"/>
        <v>0</v>
      </c>
      <c r="H59" s="821"/>
      <c r="I59" s="825" t="s">
        <v>411</v>
      </c>
      <c r="J59" s="826"/>
      <c r="K59" s="956">
        <v>120</v>
      </c>
      <c r="L59" s="822"/>
      <c r="M59" s="823"/>
      <c r="V59" s="332"/>
      <c r="AB59" s="684"/>
      <c r="AC59" s="672"/>
      <c r="AD59" s="672"/>
      <c r="AE59" s="672"/>
      <c r="AF59" s="680"/>
      <c r="AG59" s="680"/>
      <c r="AH59" s="680"/>
      <c r="AI59" s="680"/>
      <c r="AJ59" s="680"/>
      <c r="AK59" s="681"/>
      <c r="AL59" s="672"/>
      <c r="AM59" s="672"/>
      <c r="AN59" s="697"/>
    </row>
    <row r="60" spans="1:40" ht="14.1" customHeight="1" thickBot="1" x14ac:dyDescent="0.25">
      <c r="A60" s="364"/>
      <c r="B60" s="803"/>
      <c r="C60" s="318"/>
      <c r="D60" s="380" t="s">
        <v>244</v>
      </c>
      <c r="E60" s="569">
        <v>0</v>
      </c>
      <c r="F60" s="827">
        <v>650</v>
      </c>
      <c r="G60" s="828">
        <f t="shared" si="10"/>
        <v>0</v>
      </c>
      <c r="H60" s="821"/>
      <c r="I60" s="825" t="s">
        <v>412</v>
      </c>
      <c r="J60" s="826"/>
      <c r="K60" s="956">
        <v>150</v>
      </c>
      <c r="L60" s="822"/>
      <c r="M60" s="823"/>
      <c r="V60" s="332"/>
      <c r="AB60" s="684"/>
      <c r="AC60" s="672"/>
      <c r="AD60" s="672"/>
      <c r="AE60" s="672"/>
      <c r="AF60" s="672"/>
      <c r="AG60" s="672"/>
      <c r="AH60" s="672"/>
      <c r="AI60" s="672"/>
      <c r="AJ60" s="672"/>
      <c r="AK60" s="672"/>
      <c r="AL60" s="672"/>
      <c r="AM60" s="672"/>
      <c r="AN60" s="697"/>
    </row>
    <row r="61" spans="1:40" ht="14.1" customHeight="1" x14ac:dyDescent="0.2">
      <c r="A61" s="364"/>
      <c r="B61" s="803"/>
      <c r="C61" s="318"/>
      <c r="D61" s="832" t="s">
        <v>393</v>
      </c>
      <c r="E61" s="833"/>
      <c r="F61" s="834"/>
      <c r="G61" s="816">
        <f>SUM(G52:G60)</f>
        <v>139100</v>
      </c>
      <c r="H61" s="821"/>
      <c r="I61" s="825" t="s">
        <v>99</v>
      </c>
      <c r="J61" s="826"/>
      <c r="K61" s="956">
        <v>160</v>
      </c>
      <c r="L61" s="822"/>
      <c r="M61" s="823"/>
      <c r="V61" s="332"/>
      <c r="AB61" s="684"/>
      <c r="AC61" s="673" t="s">
        <v>487</v>
      </c>
      <c r="AD61" s="672"/>
      <c r="AE61" s="672"/>
      <c r="AF61" s="672"/>
      <c r="AG61" s="672"/>
      <c r="AH61" s="672"/>
      <c r="AI61" s="672"/>
      <c r="AJ61" s="672"/>
      <c r="AK61" s="672"/>
      <c r="AL61" s="672"/>
      <c r="AM61" s="672"/>
      <c r="AN61" s="697"/>
    </row>
    <row r="62" spans="1:40" ht="14.1" customHeight="1" thickBot="1" x14ac:dyDescent="0.3">
      <c r="A62" s="364"/>
      <c r="B62" s="803"/>
      <c r="C62" s="318"/>
      <c r="D62" s="835" t="s">
        <v>245</v>
      </c>
      <c r="E62" s="836"/>
      <c r="F62" s="746">
        <v>165</v>
      </c>
      <c r="G62" s="828">
        <f>G61/F62</f>
        <v>843.030303030303</v>
      </c>
      <c r="H62" s="829"/>
      <c r="I62" s="829"/>
      <c r="J62" s="830"/>
      <c r="K62" s="830"/>
      <c r="L62" s="830"/>
      <c r="M62" s="831"/>
      <c r="V62" s="332"/>
      <c r="AB62" s="684"/>
      <c r="AC62" s="672"/>
      <c r="AD62" s="678" t="s">
        <v>614</v>
      </c>
      <c r="AE62" s="672"/>
      <c r="AF62" s="678"/>
      <c r="AG62" s="678"/>
      <c r="AH62" s="678"/>
      <c r="AI62" s="678"/>
      <c r="AJ62" s="678"/>
      <c r="AK62" s="683">
        <v>1.4999999999999999E-2</v>
      </c>
      <c r="AL62" s="672"/>
      <c r="AM62" s="672"/>
      <c r="AN62" s="697"/>
    </row>
    <row r="63" spans="1:40" ht="14.1" customHeight="1" x14ac:dyDescent="0.2">
      <c r="A63" s="364"/>
      <c r="B63" s="803"/>
      <c r="C63" s="318"/>
      <c r="D63" s="388" t="s">
        <v>40</v>
      </c>
      <c r="E63" s="578">
        <v>0</v>
      </c>
      <c r="F63" s="837">
        <v>20</v>
      </c>
      <c r="G63" s="816">
        <f>E63*F63</f>
        <v>0</v>
      </c>
      <c r="H63" s="994" t="s">
        <v>615</v>
      </c>
      <c r="V63" s="332"/>
      <c r="AB63" s="684"/>
      <c r="AC63" s="672"/>
      <c r="AD63" s="678" t="s">
        <v>49</v>
      </c>
      <c r="AE63" s="672"/>
      <c r="AF63" s="680"/>
      <c r="AG63" s="680"/>
      <c r="AH63" s="680"/>
      <c r="AI63" s="680"/>
      <c r="AJ63" s="680"/>
      <c r="AK63" s="727">
        <v>0.15</v>
      </c>
      <c r="AL63" s="672"/>
      <c r="AM63" s="672"/>
      <c r="AN63" s="697"/>
    </row>
    <row r="64" spans="1:40" ht="14.1" customHeight="1" x14ac:dyDescent="0.2">
      <c r="A64" s="364"/>
      <c r="B64" s="803"/>
      <c r="C64" s="318"/>
      <c r="D64" s="373" t="s">
        <v>250</v>
      </c>
      <c r="E64" s="568">
        <v>2</v>
      </c>
      <c r="F64" s="824">
        <v>5</v>
      </c>
      <c r="G64" s="820">
        <f>E64*F64</f>
        <v>10</v>
      </c>
      <c r="H64" s="995"/>
      <c r="V64" s="332"/>
      <c r="AB64" s="684"/>
      <c r="AC64" s="672"/>
      <c r="AD64" s="672"/>
      <c r="AE64" s="672"/>
      <c r="AF64" s="672"/>
      <c r="AG64" s="672"/>
      <c r="AH64" s="672"/>
      <c r="AI64" s="672"/>
      <c r="AJ64" s="672"/>
      <c r="AK64" s="672"/>
      <c r="AL64" s="672"/>
      <c r="AM64" s="672"/>
      <c r="AN64" s="697"/>
    </row>
    <row r="65" spans="1:48" ht="19.5" customHeight="1" thickBot="1" x14ac:dyDescent="0.25">
      <c r="A65" s="364"/>
      <c r="B65" s="803"/>
      <c r="C65" s="318"/>
      <c r="D65" s="386" t="s">
        <v>251</v>
      </c>
      <c r="E65" s="569">
        <v>2</v>
      </c>
      <c r="F65" s="827">
        <v>3</v>
      </c>
      <c r="G65" s="828">
        <f>E65*F65</f>
        <v>6</v>
      </c>
      <c r="H65" s="996"/>
      <c r="V65" s="332"/>
      <c r="AB65" s="684"/>
      <c r="AC65" s="673"/>
      <c r="AD65" s="672"/>
      <c r="AE65" s="672"/>
      <c r="AF65" s="672"/>
      <c r="AG65" s="672"/>
      <c r="AH65" s="672"/>
      <c r="AI65" s="672"/>
      <c r="AJ65" s="672"/>
      <c r="AK65" s="672"/>
      <c r="AL65" s="672"/>
      <c r="AM65" s="672"/>
      <c r="AN65" s="697"/>
    </row>
    <row r="66" spans="1:48" ht="14.1" customHeight="1" thickBot="1" x14ac:dyDescent="0.3">
      <c r="A66" s="364"/>
      <c r="B66" s="803"/>
      <c r="C66" s="318"/>
      <c r="D66" s="838" t="s">
        <v>431</v>
      </c>
      <c r="E66" s="839"/>
      <c r="F66" s="840"/>
      <c r="G66" s="841">
        <f>SUM(G62:G65)</f>
        <v>859.030303030303</v>
      </c>
      <c r="H66" s="842">
        <f>IF($D$7=$AC$23,(G66*(1+$AD$23)),IF($D$7=$AC$24,(G66*(1+$AD$24)),IF($D$7=$AC$25,(G66*(1+$AD$25)),(G66*(1+$AD$26)))))</f>
        <v>1073.7878787878788</v>
      </c>
      <c r="J66" s="440"/>
      <c r="V66" s="332"/>
      <c r="AB66" s="684"/>
      <c r="AC66" s="672"/>
      <c r="AD66" s="672"/>
      <c r="AE66" s="672"/>
      <c r="AF66" s="680"/>
      <c r="AG66" s="680"/>
      <c r="AH66" s="680"/>
      <c r="AI66" s="680"/>
      <c r="AJ66" s="680"/>
      <c r="AK66" s="683"/>
      <c r="AL66" s="672"/>
      <c r="AM66" s="672"/>
      <c r="AN66" s="697"/>
    </row>
    <row r="67" spans="1:48" ht="14.1" customHeight="1" thickBot="1" x14ac:dyDescent="0.25">
      <c r="A67" s="364"/>
      <c r="B67" s="318"/>
      <c r="C67" s="318"/>
      <c r="D67" s="318"/>
      <c r="E67" s="658"/>
      <c r="F67" s="658"/>
      <c r="G67" s="658"/>
      <c r="AB67" s="684"/>
      <c r="AC67" s="672"/>
      <c r="AD67" s="672"/>
      <c r="AE67" s="672"/>
      <c r="AF67" s="672"/>
      <c r="AG67" s="672"/>
      <c r="AH67" s="672"/>
      <c r="AI67" s="672"/>
      <c r="AJ67" s="672"/>
      <c r="AK67" s="672"/>
      <c r="AL67" s="672"/>
      <c r="AM67" s="672"/>
      <c r="AN67" s="697"/>
    </row>
    <row r="68" spans="1:48" ht="14.1" customHeight="1" thickBot="1" x14ac:dyDescent="0.25">
      <c r="A68" s="326"/>
      <c r="B68" s="318"/>
      <c r="C68" s="318"/>
      <c r="D68" s="808" t="s">
        <v>17</v>
      </c>
      <c r="E68" s="810" t="s">
        <v>7</v>
      </c>
      <c r="F68" s="843" t="s">
        <v>400</v>
      </c>
      <c r="G68" s="811" t="s">
        <v>488</v>
      </c>
      <c r="H68" s="527">
        <f>26*15</f>
        <v>390</v>
      </c>
      <c r="AB68" s="685"/>
      <c r="AC68" s="686"/>
      <c r="AD68" s="686"/>
      <c r="AE68" s="686"/>
      <c r="AF68" s="686"/>
      <c r="AG68" s="686"/>
      <c r="AH68" s="686"/>
      <c r="AI68" s="686"/>
      <c r="AJ68" s="686"/>
      <c r="AK68" s="686"/>
      <c r="AL68" s="686"/>
      <c r="AM68" s="686"/>
      <c r="AN68" s="699"/>
    </row>
    <row r="69" spans="1:48" ht="14.1" customHeight="1" x14ac:dyDescent="0.2">
      <c r="A69" s="326"/>
      <c r="B69" s="318"/>
      <c r="C69" s="318"/>
      <c r="D69" s="388" t="s">
        <v>143</v>
      </c>
      <c r="E69" s="578">
        <v>0</v>
      </c>
      <c r="F69" s="837">
        <v>55</v>
      </c>
      <c r="G69" s="816">
        <f>E69*F69</f>
        <v>0</v>
      </c>
      <c r="J69" s="812" t="s">
        <v>595</v>
      </c>
      <c r="K69" s="889"/>
      <c r="AB69" s="318"/>
      <c r="AC69" s="318"/>
      <c r="AD69" s="318"/>
      <c r="AE69" s="318"/>
      <c r="AF69" s="318"/>
      <c r="AG69" s="318"/>
      <c r="AH69" s="318"/>
      <c r="AI69" s="318"/>
      <c r="AJ69" s="318"/>
      <c r="AK69" s="318"/>
      <c r="AL69" s="318"/>
      <c r="AM69" s="318"/>
    </row>
    <row r="70" spans="1:48" ht="14.1" customHeight="1" x14ac:dyDescent="0.2">
      <c r="A70" s="326"/>
      <c r="B70" s="318"/>
      <c r="C70" s="318"/>
      <c r="D70" s="373" t="s">
        <v>423</v>
      </c>
      <c r="E70" s="568">
        <v>0</v>
      </c>
      <c r="F70" s="824">
        <v>25</v>
      </c>
      <c r="G70" s="820">
        <f>E70*F70</f>
        <v>0</v>
      </c>
      <c r="J70" s="1015" t="s">
        <v>599</v>
      </c>
      <c r="K70" s="1015"/>
      <c r="L70" s="1015"/>
      <c r="M70" s="1015"/>
      <c r="AB70" s="318"/>
      <c r="AC70" s="318"/>
      <c r="AD70" s="318"/>
      <c r="AE70" s="318"/>
      <c r="AF70" s="318"/>
      <c r="AG70" s="318"/>
      <c r="AH70" s="318"/>
      <c r="AI70" s="318"/>
      <c r="AJ70" s="318"/>
      <c r="AK70" s="318"/>
      <c r="AL70" s="318"/>
      <c r="AM70" s="318"/>
    </row>
    <row r="71" spans="1:48" ht="14.1" customHeight="1" x14ac:dyDescent="0.2">
      <c r="A71" s="326"/>
      <c r="B71" s="318"/>
      <c r="C71" s="318"/>
      <c r="D71" s="373" t="s">
        <v>144</v>
      </c>
      <c r="E71" s="568">
        <v>0</v>
      </c>
      <c r="F71" s="824">
        <v>55</v>
      </c>
      <c r="G71" s="820">
        <f>E71*F71</f>
        <v>0</v>
      </c>
      <c r="J71" s="1015"/>
      <c r="K71" s="1015"/>
      <c r="L71" s="1015"/>
      <c r="M71" s="1015"/>
      <c r="AB71" s="318"/>
      <c r="AC71" s="318"/>
      <c r="AD71" s="318"/>
      <c r="AE71" s="318"/>
      <c r="AF71" s="318"/>
      <c r="AG71" s="318"/>
      <c r="AH71" s="318"/>
      <c r="AI71" s="318"/>
      <c r="AJ71" s="318"/>
      <c r="AK71" s="318"/>
      <c r="AL71" s="318"/>
      <c r="AM71" s="318"/>
    </row>
    <row r="72" spans="1:48" ht="14.1" customHeight="1" x14ac:dyDescent="0.2">
      <c r="A72" s="326"/>
      <c r="B72" s="318"/>
      <c r="C72" s="318"/>
      <c r="D72" s="373" t="s">
        <v>423</v>
      </c>
      <c r="E72" s="568">
        <v>0</v>
      </c>
      <c r="F72" s="824">
        <v>25</v>
      </c>
      <c r="G72" s="820">
        <f>E72*F72</f>
        <v>0</v>
      </c>
      <c r="AB72" s="318"/>
      <c r="AC72" s="318"/>
      <c r="AD72" s="318"/>
      <c r="AE72" s="318"/>
      <c r="AF72" s="318"/>
      <c r="AG72" s="318"/>
      <c r="AH72" s="318"/>
      <c r="AI72" s="318"/>
      <c r="AJ72" s="318"/>
      <c r="AK72" s="318"/>
      <c r="AL72" s="318"/>
      <c r="AM72" s="318"/>
    </row>
    <row r="73" spans="1:48" ht="14.1" customHeight="1" x14ac:dyDescent="0.2">
      <c r="A73" s="326"/>
      <c r="B73" s="318"/>
      <c r="C73" s="318"/>
      <c r="D73" s="373" t="s">
        <v>602</v>
      </c>
      <c r="E73" s="568">
        <v>1</v>
      </c>
      <c r="F73" s="824">
        <v>26.5</v>
      </c>
      <c r="G73" s="820">
        <f t="shared" ref="G73:G74" si="11">E73*F73</f>
        <v>26.5</v>
      </c>
      <c r="J73" s="1013" t="s">
        <v>490</v>
      </c>
      <c r="K73" s="1013"/>
      <c r="L73" s="890" t="s">
        <v>598</v>
      </c>
      <c r="M73" s="891"/>
      <c r="AB73" s="318"/>
      <c r="AC73" s="318"/>
      <c r="AD73" s="318"/>
      <c r="AE73" s="318"/>
      <c r="AF73" s="318"/>
      <c r="AG73" s="318"/>
      <c r="AH73" s="318"/>
      <c r="AI73" s="318"/>
      <c r="AJ73" s="318"/>
      <c r="AK73" s="318"/>
      <c r="AL73" s="318"/>
      <c r="AM73" s="318"/>
    </row>
    <row r="74" spans="1:48" ht="14.1" customHeight="1" x14ac:dyDescent="0.2">
      <c r="A74" s="326"/>
      <c r="B74" s="318"/>
      <c r="C74" s="318"/>
      <c r="D74" s="373" t="s">
        <v>603</v>
      </c>
      <c r="E74" s="568">
        <v>0</v>
      </c>
      <c r="F74" s="824">
        <v>4</v>
      </c>
      <c r="G74" s="820">
        <f t="shared" si="11"/>
        <v>0</v>
      </c>
      <c r="J74" s="1013" t="s">
        <v>596</v>
      </c>
      <c r="K74" s="1014"/>
      <c r="L74" s="890" t="s">
        <v>590</v>
      </c>
      <c r="M74" s="891"/>
      <c r="AB74" s="318"/>
      <c r="AC74" s="318"/>
      <c r="AD74" s="318"/>
      <c r="AE74" s="318"/>
      <c r="AF74" s="318"/>
      <c r="AG74" s="318"/>
      <c r="AH74" s="318"/>
      <c r="AI74" s="318"/>
      <c r="AJ74" s="318"/>
      <c r="AK74" s="318"/>
      <c r="AL74" s="318"/>
      <c r="AM74" s="318"/>
    </row>
    <row r="75" spans="1:48" ht="14.1" customHeight="1" x14ac:dyDescent="0.2">
      <c r="A75" s="326"/>
      <c r="B75" s="318"/>
      <c r="C75" s="318"/>
      <c r="D75" s="373" t="s">
        <v>490</v>
      </c>
      <c r="E75" s="568">
        <v>2</v>
      </c>
      <c r="F75" s="743">
        <v>28</v>
      </c>
      <c r="G75" s="820">
        <f>E75*F75</f>
        <v>56</v>
      </c>
      <c r="J75" s="1013" t="s">
        <v>597</v>
      </c>
      <c r="K75" s="1014"/>
      <c r="L75" s="890" t="s">
        <v>627</v>
      </c>
      <c r="M75" s="891"/>
      <c r="AB75" s="318"/>
      <c r="AC75" s="318"/>
      <c r="AD75" s="318"/>
      <c r="AE75" s="318"/>
      <c r="AF75" s="318"/>
      <c r="AG75" s="318"/>
      <c r="AH75" s="318"/>
      <c r="AI75" s="318"/>
      <c r="AJ75" s="318"/>
      <c r="AK75" s="318"/>
      <c r="AL75" s="318"/>
      <c r="AM75" s="318"/>
    </row>
    <row r="76" spans="1:48" ht="14.1" customHeight="1" x14ac:dyDescent="0.2">
      <c r="A76" s="326"/>
      <c r="B76" s="318"/>
      <c r="C76" s="318"/>
      <c r="D76" s="373" t="s">
        <v>233</v>
      </c>
      <c r="E76" s="568">
        <v>0</v>
      </c>
      <c r="F76" s="743">
        <v>0</v>
      </c>
      <c r="G76" s="820">
        <f>E76*F76</f>
        <v>0</v>
      </c>
      <c r="I76" s="325"/>
      <c r="AB76" s="318"/>
      <c r="AC76" s="318"/>
      <c r="AD76" s="318"/>
      <c r="AE76" s="318"/>
      <c r="AF76" s="318"/>
      <c r="AG76" s="318"/>
      <c r="AH76" s="318"/>
      <c r="AI76" s="318"/>
      <c r="AJ76" s="318"/>
      <c r="AK76" s="318"/>
      <c r="AL76" s="318"/>
      <c r="AM76" s="318"/>
    </row>
    <row r="77" spans="1:48" ht="14.1" customHeight="1" thickBot="1" x14ac:dyDescent="0.25">
      <c r="A77" s="326"/>
      <c r="B77" s="318"/>
      <c r="C77" s="318"/>
      <c r="D77" s="373" t="s">
        <v>575</v>
      </c>
      <c r="E77" s="740">
        <v>0</v>
      </c>
      <c r="F77" s="954">
        <v>1.5</v>
      </c>
      <c r="G77" s="820">
        <f t="shared" ref="G77:G79" si="12">E77*F77</f>
        <v>0</v>
      </c>
      <c r="H77" s="325"/>
      <c r="AB77" s="318"/>
      <c r="AC77" s="318"/>
      <c r="AD77" s="318"/>
      <c r="AE77" s="318"/>
      <c r="AF77" s="318"/>
      <c r="AG77" s="318"/>
      <c r="AH77" s="318"/>
      <c r="AI77" s="318"/>
      <c r="AJ77" s="318"/>
      <c r="AK77" s="318"/>
      <c r="AL77" s="318"/>
      <c r="AM77" s="318"/>
    </row>
    <row r="78" spans="1:48" ht="14.1" customHeight="1" x14ac:dyDescent="0.2">
      <c r="A78" s="326"/>
      <c r="B78" s="318"/>
      <c r="C78" s="318"/>
      <c r="D78" s="741" t="s">
        <v>576</v>
      </c>
      <c r="E78" s="740">
        <v>0</v>
      </c>
      <c r="F78" s="744">
        <v>1</v>
      </c>
      <c r="G78" s="820">
        <f t="shared" si="12"/>
        <v>0</v>
      </c>
      <c r="H78" s="994" t="s">
        <v>615</v>
      </c>
      <c r="AB78" s="318"/>
      <c r="AC78" s="318"/>
      <c r="AD78" s="318"/>
      <c r="AE78" s="318"/>
      <c r="AF78" s="318"/>
      <c r="AG78" s="318"/>
      <c r="AH78" s="318"/>
      <c r="AI78" s="318"/>
      <c r="AJ78" s="318"/>
      <c r="AK78" s="318"/>
      <c r="AL78" s="318"/>
      <c r="AM78" s="318"/>
    </row>
    <row r="79" spans="1:48" ht="14.1" customHeight="1" x14ac:dyDescent="0.2">
      <c r="A79" s="326"/>
      <c r="B79" s="318"/>
      <c r="C79" s="318"/>
      <c r="D79" s="373" t="s">
        <v>586</v>
      </c>
      <c r="E79" s="740"/>
      <c r="F79" s="744">
        <v>0</v>
      </c>
      <c r="G79" s="820">
        <f t="shared" si="12"/>
        <v>0</v>
      </c>
      <c r="H79" s="995"/>
      <c r="I79" s="325"/>
      <c r="J79" s="325"/>
      <c r="AB79" s="318"/>
      <c r="AC79" s="318"/>
      <c r="AD79" s="318"/>
      <c r="AE79" s="318"/>
      <c r="AF79" s="318"/>
      <c r="AG79" s="318"/>
      <c r="AH79" s="318"/>
      <c r="AI79" s="318"/>
      <c r="AJ79" s="318"/>
      <c r="AK79" s="318"/>
      <c r="AL79" s="318"/>
      <c r="AM79" s="318"/>
    </row>
    <row r="80" spans="1:48" ht="15.75" thickBot="1" x14ac:dyDescent="0.25">
      <c r="A80" s="326"/>
      <c r="B80" s="318"/>
      <c r="C80" s="318"/>
      <c r="D80" s="373" t="s">
        <v>586</v>
      </c>
      <c r="E80" s="569">
        <v>0</v>
      </c>
      <c r="F80" s="745">
        <v>0</v>
      </c>
      <c r="G80" s="828">
        <f t="shared" ref="G80" si="13">E80*F80</f>
        <v>0</v>
      </c>
      <c r="H80" s="996"/>
      <c r="I80" s="587"/>
      <c r="J80" s="440"/>
      <c r="K80" s="330"/>
      <c r="M80" s="330"/>
      <c r="N80" s="330"/>
      <c r="O80" s="330"/>
      <c r="P80" s="330"/>
      <c r="V80" s="332"/>
      <c r="AB80" s="318"/>
      <c r="AC80" s="318"/>
      <c r="AD80" s="318"/>
      <c r="AE80" s="318"/>
      <c r="AF80" s="318"/>
      <c r="AG80" s="318"/>
      <c r="AH80" s="318"/>
      <c r="AI80" s="318"/>
      <c r="AJ80" s="318"/>
      <c r="AK80" s="318"/>
      <c r="AL80" s="318"/>
      <c r="AM80" s="318"/>
      <c r="AV80" s="330"/>
    </row>
    <row r="81" spans="1:48" s="330" customFormat="1" ht="14.1" customHeight="1" thickBot="1" x14ac:dyDescent="0.25">
      <c r="A81" s="389"/>
      <c r="B81" s="781"/>
      <c r="C81" s="318"/>
      <c r="D81" s="845" t="s">
        <v>432</v>
      </c>
      <c r="E81" s="839"/>
      <c r="F81" s="846"/>
      <c r="G81" s="583">
        <f>SUM(G69:G80)</f>
        <v>82.5</v>
      </c>
      <c r="H81" s="842">
        <f>IF($D$7=$AC$23,(G81*(1+$AD$23)),IF($D$7=$AC$24,(G81*(1+$AD$24)),IF($D$7=$AC$25,(G81*(1+$AD$25)),(G81*(1+$AD$26)))))</f>
        <v>103.125</v>
      </c>
      <c r="I81" s="658"/>
      <c r="J81" s="332"/>
      <c r="L81" s="341"/>
      <c r="M81" s="332"/>
      <c r="N81" s="332"/>
      <c r="O81" s="332"/>
      <c r="P81" s="332"/>
      <c r="R81" s="325"/>
      <c r="S81" s="325"/>
      <c r="T81" s="325"/>
      <c r="U81" s="325"/>
      <c r="V81" s="332"/>
      <c r="W81" s="325"/>
      <c r="X81" s="325"/>
      <c r="Y81" s="325"/>
      <c r="Z81" s="325"/>
      <c r="AA81" s="325"/>
      <c r="AB81" s="318"/>
      <c r="AC81" s="318"/>
      <c r="AD81" s="318"/>
      <c r="AE81" s="318"/>
      <c r="AF81" s="318"/>
      <c r="AG81" s="318"/>
      <c r="AH81" s="318"/>
      <c r="AI81" s="318"/>
      <c r="AJ81" s="318"/>
      <c r="AK81" s="318"/>
      <c r="AL81" s="318"/>
      <c r="AM81" s="318"/>
      <c r="AN81" s="325"/>
      <c r="AV81" s="325"/>
    </row>
    <row r="82" spans="1:48" ht="14.1" customHeight="1" thickBot="1" x14ac:dyDescent="0.25">
      <c r="A82" s="326"/>
      <c r="B82" s="318"/>
      <c r="C82" s="318"/>
      <c r="D82" s="803"/>
      <c r="E82" s="658"/>
      <c r="F82" s="658"/>
      <c r="G82" s="658"/>
      <c r="H82" s="658"/>
      <c r="I82" s="848" t="s">
        <v>461</v>
      </c>
      <c r="J82" s="782"/>
      <c r="K82" s="330"/>
      <c r="L82" s="319"/>
      <c r="M82" s="318"/>
      <c r="N82" s="332"/>
      <c r="Q82" s="332"/>
      <c r="V82" s="332"/>
      <c r="AB82" s="318"/>
      <c r="AC82" s="318"/>
      <c r="AD82" s="318"/>
      <c r="AE82" s="318"/>
      <c r="AF82" s="318"/>
      <c r="AG82" s="318"/>
      <c r="AH82" s="318"/>
      <c r="AI82" s="318"/>
      <c r="AJ82" s="318"/>
      <c r="AK82" s="318"/>
      <c r="AL82" s="318"/>
      <c r="AM82" s="318"/>
      <c r="AO82" s="332"/>
      <c r="AP82" s="332"/>
      <c r="AQ82" s="332"/>
      <c r="AR82" s="332"/>
      <c r="AS82" s="332"/>
      <c r="AT82" s="332"/>
      <c r="AU82" s="332"/>
    </row>
    <row r="83" spans="1:48" ht="14.1" customHeight="1" thickBot="1" x14ac:dyDescent="0.25">
      <c r="A83" s="326"/>
      <c r="B83" s="318"/>
      <c r="C83" s="318"/>
      <c r="D83" s="808" t="s">
        <v>564</v>
      </c>
      <c r="E83" s="854" t="s">
        <v>605</v>
      </c>
      <c r="F83" s="843" t="s">
        <v>400</v>
      </c>
      <c r="G83" s="847" t="s">
        <v>441</v>
      </c>
      <c r="H83" s="843" t="s">
        <v>488</v>
      </c>
      <c r="I83" s="593">
        <f>IF(G84=$AC$31,H84*(1+$AD$31),IF(G84=$AC$32,H84*(1+$AD$32),0))</f>
        <v>0</v>
      </c>
      <c r="J83" s="782"/>
      <c r="K83" s="330"/>
      <c r="L83" s="319"/>
      <c r="M83" s="318"/>
      <c r="X83" s="332"/>
      <c r="AB83" s="318"/>
      <c r="AC83" s="318"/>
      <c r="AD83" s="318"/>
      <c r="AE83" s="318"/>
      <c r="AF83" s="318"/>
      <c r="AG83" s="318"/>
      <c r="AH83" s="318"/>
      <c r="AI83" s="318"/>
      <c r="AJ83" s="318"/>
      <c r="AK83" s="318"/>
      <c r="AL83" s="318"/>
      <c r="AM83" s="318"/>
    </row>
    <row r="84" spans="1:48" ht="14.1" customHeight="1" x14ac:dyDescent="0.2">
      <c r="A84" s="326"/>
      <c r="B84" s="318"/>
      <c r="C84" s="318"/>
      <c r="D84" s="388" t="s">
        <v>537</v>
      </c>
      <c r="E84" s="591">
        <v>0</v>
      </c>
      <c r="F84" s="591">
        <v>0</v>
      </c>
      <c r="G84" s="592" t="s">
        <v>563</v>
      </c>
      <c r="H84" s="849">
        <f>F84*E84</f>
        <v>0</v>
      </c>
      <c r="I84" s="594">
        <f t="shared" ref="I84:I86" si="14">IF(G85=$AC$31,H85*(1+$AD$31),IF(G85=$AC$32,H85*(1+$AD$32),0))</f>
        <v>0</v>
      </c>
      <c r="J84" s="782"/>
      <c r="K84" s="330"/>
      <c r="L84" s="319"/>
      <c r="M84" s="318"/>
      <c r="AB84" s="318"/>
      <c r="AC84" s="318"/>
      <c r="AD84" s="318"/>
      <c r="AE84" s="318"/>
      <c r="AF84" s="318"/>
      <c r="AG84" s="318"/>
      <c r="AH84" s="318"/>
      <c r="AI84" s="318"/>
      <c r="AJ84" s="318"/>
      <c r="AK84" s="318"/>
      <c r="AL84" s="318"/>
      <c r="AM84" s="318"/>
    </row>
    <row r="85" spans="1:48" ht="14.1" customHeight="1" x14ac:dyDescent="0.2">
      <c r="A85" s="326"/>
      <c r="B85" s="318"/>
      <c r="C85" s="318"/>
      <c r="D85" s="395" t="s">
        <v>404</v>
      </c>
      <c r="E85" s="591">
        <v>0</v>
      </c>
      <c r="F85" s="591">
        <v>0</v>
      </c>
      <c r="G85" s="592" t="s">
        <v>563</v>
      </c>
      <c r="H85" s="849">
        <f>F85*E85</f>
        <v>0</v>
      </c>
      <c r="I85" s="594">
        <f t="shared" si="14"/>
        <v>0</v>
      </c>
      <c r="J85" s="782"/>
      <c r="K85" s="330"/>
      <c r="L85" s="319"/>
      <c r="M85" s="318"/>
      <c r="AB85" s="318"/>
      <c r="AC85" s="318"/>
      <c r="AD85" s="318"/>
      <c r="AE85" s="318"/>
      <c r="AF85" s="318"/>
      <c r="AG85" s="318"/>
      <c r="AH85" s="318"/>
      <c r="AI85" s="318"/>
      <c r="AJ85" s="318"/>
      <c r="AK85" s="318"/>
      <c r="AL85" s="318"/>
      <c r="AM85" s="318"/>
    </row>
    <row r="86" spans="1:48" ht="14.1" customHeight="1" thickBot="1" x14ac:dyDescent="0.25">
      <c r="A86" s="326"/>
      <c r="B86" s="318"/>
      <c r="C86" s="318"/>
      <c r="D86" s="395" t="s">
        <v>405</v>
      </c>
      <c r="E86" s="591">
        <v>0</v>
      </c>
      <c r="F86" s="591">
        <v>0</v>
      </c>
      <c r="G86" s="592" t="s">
        <v>563</v>
      </c>
      <c r="H86" s="849">
        <f>F86*E86</f>
        <v>0</v>
      </c>
      <c r="I86" s="597">
        <f t="shared" si="14"/>
        <v>0</v>
      </c>
      <c r="J86" s="782"/>
      <c r="K86" s="330"/>
      <c r="L86" s="319"/>
      <c r="M86" s="318"/>
      <c r="AB86" s="318"/>
      <c r="AC86" s="318"/>
      <c r="AD86" s="318"/>
      <c r="AE86" s="318"/>
      <c r="AF86" s="318"/>
      <c r="AG86" s="318"/>
      <c r="AH86" s="318"/>
      <c r="AI86" s="318"/>
      <c r="AJ86" s="318"/>
      <c r="AK86" s="318"/>
      <c r="AL86" s="318"/>
      <c r="AM86" s="318"/>
    </row>
    <row r="87" spans="1:48" ht="14.1" customHeight="1" thickBot="1" x14ac:dyDescent="0.25">
      <c r="A87" s="326"/>
      <c r="B87" s="318"/>
      <c r="C87" s="318"/>
      <c r="D87" s="398" t="s">
        <v>406</v>
      </c>
      <c r="E87" s="591">
        <v>0</v>
      </c>
      <c r="F87" s="591">
        <v>0</v>
      </c>
      <c r="G87" s="592" t="s">
        <v>563</v>
      </c>
      <c r="H87" s="850">
        <f>F87*E87</f>
        <v>0</v>
      </c>
      <c r="I87" s="599">
        <f>SUM(I83:I86)</f>
        <v>0</v>
      </c>
      <c r="J87" s="782"/>
      <c r="K87" s="330"/>
      <c r="L87" s="782"/>
      <c r="M87" s="318"/>
      <c r="AB87" s="318"/>
      <c r="AC87" s="318"/>
      <c r="AD87" s="318"/>
      <c r="AE87" s="318"/>
      <c r="AF87" s="318"/>
      <c r="AG87" s="318"/>
      <c r="AH87" s="318"/>
      <c r="AI87" s="318"/>
      <c r="AJ87" s="318"/>
      <c r="AK87" s="318"/>
      <c r="AL87" s="318"/>
      <c r="AM87" s="318"/>
    </row>
    <row r="88" spans="1:48" ht="14.1" customHeight="1" thickBot="1" x14ac:dyDescent="0.25">
      <c r="A88" s="326"/>
      <c r="B88" s="318"/>
      <c r="C88" s="318"/>
      <c r="D88" s="851" t="s">
        <v>433</v>
      </c>
      <c r="E88" s="839"/>
      <c r="F88" s="846"/>
      <c r="G88" s="846"/>
      <c r="H88" s="599">
        <f>SUM(H84:H87)</f>
        <v>0</v>
      </c>
      <c r="J88" s="325"/>
      <c r="K88" s="330"/>
      <c r="L88" s="332"/>
      <c r="AB88" s="318"/>
      <c r="AC88" s="318"/>
      <c r="AD88" s="318"/>
      <c r="AE88" s="318"/>
      <c r="AF88" s="318"/>
      <c r="AG88" s="318"/>
      <c r="AH88" s="318"/>
      <c r="AI88" s="318"/>
      <c r="AJ88" s="318"/>
      <c r="AK88" s="318"/>
      <c r="AL88" s="318"/>
      <c r="AM88" s="318"/>
    </row>
    <row r="89" spans="1:48" ht="14.1" customHeight="1" thickBot="1" x14ac:dyDescent="0.25">
      <c r="A89" s="326"/>
      <c r="B89" s="318"/>
      <c r="C89" s="318"/>
      <c r="D89" s="318"/>
      <c r="E89" s="658"/>
      <c r="F89" s="658"/>
      <c r="G89" s="658"/>
      <c r="I89" s="330"/>
      <c r="AB89" s="318"/>
      <c r="AC89" s="318"/>
      <c r="AD89" s="318"/>
      <c r="AE89" s="318"/>
      <c r="AF89" s="318"/>
      <c r="AG89" s="318"/>
      <c r="AH89" s="318"/>
      <c r="AI89" s="318"/>
      <c r="AJ89" s="318"/>
      <c r="AK89" s="318"/>
      <c r="AL89" s="318"/>
      <c r="AM89" s="318"/>
    </row>
    <row r="90" spans="1:48" ht="14.1" customHeight="1" thickBot="1" x14ac:dyDescent="0.25">
      <c r="A90" s="326"/>
      <c r="B90" s="318"/>
      <c r="C90" s="318"/>
      <c r="D90" s="852" t="s">
        <v>593</v>
      </c>
      <c r="E90" s="991"/>
      <c r="F90" s="992"/>
      <c r="G90" s="993"/>
      <c r="H90" s="879"/>
      <c r="I90" s="882"/>
      <c r="J90" s="882"/>
      <c r="K90" s="882"/>
      <c r="L90" s="882"/>
      <c r="M90" s="882"/>
      <c r="AB90" s="318"/>
      <c r="AC90" s="318"/>
      <c r="AD90" s="318"/>
      <c r="AE90" s="318"/>
      <c r="AF90" s="318"/>
      <c r="AG90" s="318"/>
      <c r="AH90" s="318"/>
      <c r="AI90" s="318"/>
      <c r="AJ90" s="318"/>
      <c r="AK90" s="318"/>
      <c r="AL90" s="318"/>
      <c r="AM90" s="318"/>
    </row>
    <row r="91" spans="1:48" ht="14.1" customHeight="1" thickBot="1" x14ac:dyDescent="0.25">
      <c r="A91" s="326"/>
      <c r="B91" s="318"/>
      <c r="C91" s="318"/>
      <c r="D91" s="853" t="s">
        <v>457</v>
      </c>
      <c r="E91" s="854" t="s">
        <v>7</v>
      </c>
      <c r="F91" s="855" t="s">
        <v>437</v>
      </c>
      <c r="G91" s="843" t="s">
        <v>488</v>
      </c>
      <c r="I91" s="882"/>
      <c r="J91" s="882"/>
      <c r="K91" s="882"/>
      <c r="L91" s="882"/>
      <c r="M91" s="882"/>
      <c r="AB91" s="318"/>
      <c r="AC91" s="318"/>
      <c r="AD91" s="318"/>
      <c r="AE91" s="318"/>
      <c r="AF91" s="318"/>
      <c r="AG91" s="318"/>
      <c r="AH91" s="318"/>
      <c r="AI91" s="318"/>
      <c r="AJ91" s="318"/>
      <c r="AK91" s="318"/>
      <c r="AL91" s="318"/>
      <c r="AM91" s="318"/>
    </row>
    <row r="92" spans="1:48" ht="14.1" customHeight="1" x14ac:dyDescent="0.25">
      <c r="A92" s="326"/>
      <c r="B92" s="318"/>
      <c r="C92" s="318"/>
      <c r="D92" s="687"/>
      <c r="E92" s="706">
        <v>0</v>
      </c>
      <c r="F92" s="607">
        <v>0</v>
      </c>
      <c r="G92" s="856">
        <f t="shared" ref="G92:G99" si="15">E92*F92</f>
        <v>0</v>
      </c>
      <c r="I92" s="882"/>
      <c r="J92" s="882"/>
      <c r="K92" s="882"/>
      <c r="L92" s="882"/>
      <c r="M92" s="882"/>
      <c r="AB92" s="318"/>
      <c r="AC92" s="318"/>
      <c r="AD92" s="318"/>
      <c r="AE92" s="318"/>
      <c r="AF92" s="318"/>
      <c r="AG92" s="318"/>
      <c r="AH92" s="318"/>
      <c r="AI92" s="318"/>
      <c r="AJ92" s="318"/>
      <c r="AK92" s="318"/>
      <c r="AL92" s="318"/>
      <c r="AM92" s="318"/>
    </row>
    <row r="93" spans="1:48" ht="14.1" customHeight="1" x14ac:dyDescent="0.25">
      <c r="A93" s="326"/>
      <c r="B93" s="318"/>
      <c r="C93" s="318"/>
      <c r="D93" s="687"/>
      <c r="E93" s="706">
        <v>0</v>
      </c>
      <c r="F93" s="610">
        <v>0</v>
      </c>
      <c r="G93" s="856">
        <f t="shared" si="15"/>
        <v>0</v>
      </c>
      <c r="I93" s="882"/>
      <c r="J93" s="882"/>
      <c r="K93" s="882"/>
      <c r="L93" s="882"/>
      <c r="M93" s="882"/>
      <c r="AB93" s="318"/>
      <c r="AC93" s="318"/>
      <c r="AD93" s="318"/>
      <c r="AE93" s="318"/>
      <c r="AF93" s="318"/>
      <c r="AG93" s="318"/>
      <c r="AH93" s="318"/>
      <c r="AI93" s="318"/>
      <c r="AJ93" s="318"/>
      <c r="AK93" s="318"/>
      <c r="AL93" s="318"/>
      <c r="AM93" s="318"/>
    </row>
    <row r="94" spans="1:48" ht="14.1" customHeight="1" x14ac:dyDescent="0.25">
      <c r="A94" s="326"/>
      <c r="B94" s="318"/>
      <c r="C94" s="318"/>
      <c r="D94" s="688"/>
      <c r="E94" s="706">
        <v>0</v>
      </c>
      <c r="F94" s="610">
        <v>0</v>
      </c>
      <c r="G94" s="856">
        <f t="shared" si="15"/>
        <v>0</v>
      </c>
      <c r="I94" s="882"/>
      <c r="J94" s="882"/>
      <c r="K94" s="882"/>
      <c r="L94" s="882"/>
      <c r="M94" s="882"/>
      <c r="AB94" s="318"/>
      <c r="AC94" s="318"/>
      <c r="AD94" s="318"/>
      <c r="AE94" s="318"/>
      <c r="AF94" s="318"/>
      <c r="AG94" s="318"/>
      <c r="AH94" s="318"/>
      <c r="AI94" s="318"/>
      <c r="AJ94" s="318"/>
      <c r="AK94" s="318"/>
      <c r="AL94" s="318"/>
      <c r="AM94" s="318"/>
    </row>
    <row r="95" spans="1:48" ht="14.1" customHeight="1" x14ac:dyDescent="0.25">
      <c r="A95" s="326"/>
      <c r="B95" s="318"/>
      <c r="C95" s="318"/>
      <c r="D95" s="688"/>
      <c r="E95" s="606">
        <v>0</v>
      </c>
      <c r="F95" s="610">
        <v>0</v>
      </c>
      <c r="G95" s="856">
        <f t="shared" si="15"/>
        <v>0</v>
      </c>
      <c r="I95" s="882"/>
      <c r="J95" s="882"/>
      <c r="K95" s="882"/>
      <c r="L95" s="882"/>
      <c r="M95" s="882"/>
      <c r="AB95" s="318"/>
      <c r="AC95" s="318"/>
      <c r="AD95" s="318"/>
      <c r="AE95" s="318"/>
      <c r="AF95" s="318"/>
      <c r="AG95" s="318"/>
      <c r="AH95" s="318"/>
      <c r="AI95" s="318"/>
      <c r="AJ95" s="318"/>
      <c r="AK95" s="318"/>
      <c r="AL95" s="318"/>
      <c r="AM95" s="318"/>
    </row>
    <row r="96" spans="1:48" ht="14.1" customHeight="1" thickBot="1" x14ac:dyDescent="0.3">
      <c r="A96" s="326"/>
      <c r="B96" s="318"/>
      <c r="C96" s="318"/>
      <c r="D96" s="688"/>
      <c r="E96" s="606"/>
      <c r="F96" s="610"/>
      <c r="G96" s="856">
        <f t="shared" si="15"/>
        <v>0</v>
      </c>
      <c r="I96" s="882"/>
      <c r="J96" s="882"/>
      <c r="K96" s="882"/>
      <c r="L96" s="882"/>
      <c r="M96" s="882"/>
      <c r="AB96" s="318"/>
      <c r="AC96" s="318"/>
      <c r="AD96" s="318"/>
      <c r="AE96" s="318"/>
      <c r="AF96" s="318"/>
      <c r="AG96" s="318"/>
      <c r="AH96" s="318"/>
      <c r="AI96" s="318"/>
      <c r="AJ96" s="318"/>
      <c r="AK96" s="318"/>
      <c r="AL96" s="318"/>
      <c r="AM96" s="318"/>
    </row>
    <row r="97" spans="1:40" ht="14.1" customHeight="1" x14ac:dyDescent="0.25">
      <c r="A97" s="326"/>
      <c r="B97" s="318"/>
      <c r="C97" s="318"/>
      <c r="D97" s="688"/>
      <c r="E97" s="606"/>
      <c r="F97" s="610"/>
      <c r="G97" s="856">
        <f t="shared" si="15"/>
        <v>0</v>
      </c>
      <c r="H97" s="994" t="s">
        <v>615</v>
      </c>
      <c r="I97" s="882"/>
      <c r="J97" s="882"/>
      <c r="K97" s="882"/>
      <c r="L97" s="882"/>
      <c r="M97" s="882"/>
      <c r="AB97" s="318"/>
      <c r="AC97" s="318"/>
      <c r="AD97" s="318"/>
      <c r="AE97" s="318"/>
      <c r="AF97" s="318"/>
      <c r="AG97" s="318"/>
      <c r="AH97" s="318"/>
      <c r="AI97" s="318"/>
      <c r="AJ97" s="318"/>
      <c r="AK97" s="318"/>
      <c r="AL97" s="318"/>
      <c r="AM97" s="318"/>
    </row>
    <row r="98" spans="1:40" ht="14.1" customHeight="1" x14ac:dyDescent="0.25">
      <c r="A98" s="326"/>
      <c r="B98" s="318"/>
      <c r="C98" s="318"/>
      <c r="D98" s="688"/>
      <c r="E98" s="606"/>
      <c r="F98" s="610"/>
      <c r="G98" s="856">
        <f t="shared" si="15"/>
        <v>0</v>
      </c>
      <c r="H98" s="995"/>
      <c r="I98" s="882"/>
      <c r="J98" s="882"/>
      <c r="K98" s="882"/>
      <c r="L98" s="882"/>
      <c r="M98" s="882"/>
      <c r="AB98" s="318"/>
      <c r="AC98" s="318"/>
      <c r="AD98" s="318"/>
      <c r="AE98" s="318"/>
      <c r="AF98" s="318"/>
      <c r="AG98" s="318"/>
      <c r="AH98" s="318"/>
      <c r="AI98" s="318"/>
      <c r="AJ98" s="318"/>
      <c r="AK98" s="318"/>
      <c r="AL98" s="318"/>
      <c r="AM98" s="318"/>
    </row>
    <row r="99" spans="1:40" ht="14.1" customHeight="1" thickBot="1" x14ac:dyDescent="0.3">
      <c r="A99" s="326"/>
      <c r="B99" s="318"/>
      <c r="C99" s="318"/>
      <c r="D99" s="700"/>
      <c r="E99" s="707"/>
      <c r="F99" s="701"/>
      <c r="G99" s="857">
        <f t="shared" si="15"/>
        <v>0</v>
      </c>
      <c r="H99" s="996"/>
      <c r="I99" s="882"/>
      <c r="J99" s="882"/>
      <c r="K99" s="882"/>
      <c r="L99" s="882"/>
      <c r="M99" s="882"/>
      <c r="AB99" s="318"/>
      <c r="AC99" s="318"/>
      <c r="AD99" s="318"/>
      <c r="AE99" s="318"/>
      <c r="AF99" s="318"/>
      <c r="AG99" s="318"/>
      <c r="AH99" s="318"/>
      <c r="AI99" s="318"/>
      <c r="AJ99" s="318"/>
      <c r="AK99" s="318"/>
      <c r="AL99" s="318"/>
      <c r="AM99" s="318"/>
    </row>
    <row r="100" spans="1:40" ht="14.1" customHeight="1" thickBot="1" x14ac:dyDescent="0.3">
      <c r="A100" s="326"/>
      <c r="B100" s="318"/>
      <c r="C100" s="318"/>
      <c r="D100" s="858" t="s">
        <v>533</v>
      </c>
      <c r="E100" s="859"/>
      <c r="F100" s="860"/>
      <c r="G100" s="861">
        <f>SUM(G92:G99)</f>
        <v>0</v>
      </c>
      <c r="H100" s="583">
        <f>G100+(G100*$AG$44)</f>
        <v>0</v>
      </c>
      <c r="I100" s="882"/>
      <c r="J100" s="882"/>
      <c r="K100" s="882"/>
      <c r="L100" s="882"/>
      <c r="M100" s="882"/>
      <c r="AB100" s="318"/>
      <c r="AC100" s="318"/>
      <c r="AD100" s="318"/>
      <c r="AE100" s="318"/>
      <c r="AF100" s="318"/>
      <c r="AG100" s="318"/>
      <c r="AH100" s="318"/>
      <c r="AI100" s="318"/>
      <c r="AJ100" s="318"/>
      <c r="AK100" s="318"/>
      <c r="AL100" s="318"/>
      <c r="AM100" s="318"/>
    </row>
    <row r="101" spans="1:40" ht="14.1" customHeight="1" thickBot="1" x14ac:dyDescent="0.25">
      <c r="A101" s="326"/>
      <c r="B101" s="318"/>
      <c r="C101" s="318"/>
      <c r="D101" s="318"/>
      <c r="E101" s="658"/>
      <c r="F101" s="658"/>
      <c r="G101" s="658"/>
      <c r="I101" s="330"/>
      <c r="AB101" s="318"/>
      <c r="AC101" s="318"/>
      <c r="AD101" s="318"/>
      <c r="AE101" s="318"/>
      <c r="AF101" s="318"/>
      <c r="AG101" s="318"/>
      <c r="AH101" s="318"/>
      <c r="AI101" s="318"/>
      <c r="AJ101" s="318"/>
      <c r="AK101" s="318"/>
      <c r="AL101" s="318"/>
      <c r="AM101" s="318"/>
    </row>
    <row r="102" spans="1:40" ht="15.75" thickBot="1" x14ac:dyDescent="0.25">
      <c r="A102" s="364"/>
      <c r="B102" s="318"/>
      <c r="C102" s="318"/>
      <c r="D102" s="852" t="s">
        <v>532</v>
      </c>
      <c r="E102" s="991"/>
      <c r="F102" s="992"/>
      <c r="G102" s="993"/>
      <c r="H102" s="879"/>
      <c r="I102" s="880"/>
      <c r="N102" s="441"/>
      <c r="O102" s="441"/>
      <c r="P102" s="441"/>
      <c r="V102" s="332"/>
      <c r="AB102" s="318"/>
      <c r="AC102" s="318"/>
      <c r="AD102" s="318"/>
      <c r="AE102" s="318"/>
      <c r="AF102" s="318"/>
      <c r="AG102" s="318"/>
      <c r="AH102" s="318"/>
      <c r="AI102" s="318"/>
      <c r="AJ102" s="318"/>
      <c r="AK102" s="318"/>
      <c r="AL102" s="318"/>
      <c r="AM102" s="318"/>
    </row>
    <row r="103" spans="1:40" ht="14.1" customHeight="1" thickBot="1" x14ac:dyDescent="0.25">
      <c r="A103" s="326"/>
      <c r="B103" s="318"/>
      <c r="C103" s="318"/>
      <c r="D103" s="853" t="s">
        <v>457</v>
      </c>
      <c r="E103" s="854" t="s">
        <v>7</v>
      </c>
      <c r="F103" s="855" t="s">
        <v>437</v>
      </c>
      <c r="G103" s="843" t="s">
        <v>488</v>
      </c>
      <c r="I103" s="881"/>
      <c r="AB103" s="318"/>
      <c r="AC103" s="318"/>
      <c r="AD103" s="318"/>
      <c r="AE103" s="318"/>
      <c r="AF103" s="318"/>
      <c r="AG103" s="318"/>
      <c r="AH103" s="318"/>
      <c r="AI103" s="318"/>
      <c r="AJ103" s="318"/>
      <c r="AK103" s="318"/>
      <c r="AL103" s="318"/>
      <c r="AM103" s="318"/>
    </row>
    <row r="104" spans="1:40" ht="14.1" customHeight="1" x14ac:dyDescent="0.25">
      <c r="A104" s="326"/>
      <c r="B104" s="318"/>
      <c r="C104" s="318"/>
      <c r="D104" s="687" t="s">
        <v>651</v>
      </c>
      <c r="E104" s="706">
        <v>2</v>
      </c>
      <c r="F104" s="607">
        <v>57</v>
      </c>
      <c r="G104" s="856">
        <f>E104*F104</f>
        <v>114</v>
      </c>
      <c r="I104" s="882"/>
      <c r="AB104" s="318"/>
      <c r="AC104" s="318"/>
      <c r="AD104" s="318"/>
      <c r="AE104" s="318"/>
      <c r="AF104" s="318"/>
      <c r="AG104" s="318"/>
      <c r="AH104" s="318"/>
      <c r="AI104" s="318"/>
      <c r="AJ104" s="318"/>
      <c r="AK104" s="318"/>
      <c r="AL104" s="318"/>
      <c r="AM104" s="781"/>
      <c r="AN104" s="330"/>
    </row>
    <row r="105" spans="1:40" ht="14.1" customHeight="1" x14ac:dyDescent="0.25">
      <c r="A105" s="326"/>
      <c r="B105" s="318"/>
      <c r="C105" s="318"/>
      <c r="D105" s="687" t="s">
        <v>652</v>
      </c>
      <c r="E105" s="706">
        <v>2</v>
      </c>
      <c r="F105" s="610">
        <v>52</v>
      </c>
      <c r="G105" s="856">
        <f t="shared" ref="G105:G124" si="16">E105*F105</f>
        <v>104</v>
      </c>
      <c r="I105" s="882"/>
      <c r="AB105" s="318"/>
      <c r="AC105" s="318"/>
      <c r="AD105" s="318"/>
      <c r="AE105" s="318"/>
      <c r="AF105" s="318"/>
      <c r="AG105" s="318"/>
      <c r="AH105" s="318"/>
      <c r="AI105" s="318"/>
      <c r="AJ105" s="318"/>
      <c r="AK105" s="318"/>
      <c r="AL105" s="318"/>
      <c r="AM105" s="782"/>
      <c r="AN105" s="332"/>
    </row>
    <row r="106" spans="1:40" ht="14.1" customHeight="1" x14ac:dyDescent="0.25">
      <c r="A106" s="326"/>
      <c r="B106" s="318"/>
      <c r="C106" s="318"/>
      <c r="D106" s="687" t="s">
        <v>653</v>
      </c>
      <c r="E106" s="706">
        <v>2</v>
      </c>
      <c r="F106" s="610">
        <v>65</v>
      </c>
      <c r="G106" s="856">
        <f t="shared" si="16"/>
        <v>130</v>
      </c>
      <c r="I106" s="882"/>
      <c r="AB106" s="318"/>
      <c r="AC106" s="318"/>
      <c r="AD106" s="318"/>
      <c r="AE106" s="318"/>
      <c r="AF106" s="318"/>
      <c r="AG106" s="318"/>
      <c r="AH106" s="318"/>
      <c r="AI106" s="318"/>
      <c r="AJ106" s="318"/>
      <c r="AK106" s="318"/>
      <c r="AL106" s="318"/>
      <c r="AM106" s="318"/>
    </row>
    <row r="107" spans="1:40" ht="14.1" customHeight="1" x14ac:dyDescent="0.25">
      <c r="A107" s="326"/>
      <c r="B107" s="318"/>
      <c r="C107" s="318"/>
      <c r="D107" s="687" t="s">
        <v>654</v>
      </c>
      <c r="E107" s="706">
        <v>2</v>
      </c>
      <c r="F107" s="610">
        <v>15</v>
      </c>
      <c r="G107" s="856">
        <f t="shared" si="16"/>
        <v>30</v>
      </c>
      <c r="I107" s="882"/>
      <c r="AB107" s="318"/>
      <c r="AC107" s="318"/>
      <c r="AD107" s="318"/>
      <c r="AE107" s="318"/>
      <c r="AF107" s="318"/>
      <c r="AG107" s="318"/>
      <c r="AH107" s="318"/>
      <c r="AI107" s="318"/>
      <c r="AJ107" s="318"/>
      <c r="AK107" s="318"/>
      <c r="AL107" s="318"/>
      <c r="AM107" s="318"/>
    </row>
    <row r="108" spans="1:40" ht="14.1" customHeight="1" x14ac:dyDescent="0.25">
      <c r="A108" s="326"/>
      <c r="B108" s="318"/>
      <c r="C108" s="318"/>
      <c r="D108" s="688" t="s">
        <v>655</v>
      </c>
      <c r="E108" s="706">
        <v>0</v>
      </c>
      <c r="F108" s="610">
        <v>30</v>
      </c>
      <c r="G108" s="856">
        <f t="shared" si="16"/>
        <v>0</v>
      </c>
      <c r="I108" s="883"/>
      <c r="AB108" s="318"/>
      <c r="AC108" s="318"/>
      <c r="AD108" s="318"/>
      <c r="AE108" s="318"/>
      <c r="AF108" s="318"/>
      <c r="AG108" s="318"/>
      <c r="AH108" s="318"/>
      <c r="AI108" s="318"/>
      <c r="AJ108" s="318"/>
      <c r="AK108" s="318"/>
      <c r="AL108" s="318"/>
      <c r="AM108" s="318"/>
    </row>
    <row r="109" spans="1:40" ht="14.1" customHeight="1" x14ac:dyDescent="0.25">
      <c r="A109" s="326"/>
      <c r="B109" s="318"/>
      <c r="C109" s="318"/>
      <c r="D109" s="688"/>
      <c r="E109" s="706">
        <v>0</v>
      </c>
      <c r="F109" s="610">
        <v>0</v>
      </c>
      <c r="G109" s="856">
        <f t="shared" si="16"/>
        <v>0</v>
      </c>
      <c r="I109" s="883"/>
      <c r="J109" s="882"/>
      <c r="K109" s="882"/>
      <c r="L109" s="882"/>
      <c r="M109" s="882"/>
      <c r="AB109" s="318"/>
      <c r="AC109" s="318"/>
      <c r="AD109" s="318"/>
      <c r="AE109" s="318"/>
      <c r="AF109" s="318"/>
      <c r="AG109" s="318"/>
      <c r="AH109" s="318"/>
      <c r="AI109" s="318"/>
      <c r="AJ109" s="318"/>
      <c r="AK109" s="318"/>
      <c r="AL109" s="318"/>
      <c r="AM109" s="318"/>
    </row>
    <row r="110" spans="1:40" ht="14.1" customHeight="1" x14ac:dyDescent="0.25">
      <c r="A110" s="326"/>
      <c r="B110" s="318"/>
      <c r="C110" s="318"/>
      <c r="D110" s="688"/>
      <c r="E110" s="706">
        <v>0</v>
      </c>
      <c r="F110" s="610">
        <v>0</v>
      </c>
      <c r="G110" s="856">
        <f t="shared" si="16"/>
        <v>0</v>
      </c>
      <c r="I110" s="882"/>
      <c r="J110" s="882"/>
      <c r="K110" s="882"/>
      <c r="L110" s="882"/>
      <c r="M110" s="882"/>
      <c r="AB110" s="318"/>
      <c r="AC110" s="318"/>
      <c r="AD110" s="318"/>
      <c r="AE110" s="318"/>
      <c r="AF110" s="318"/>
      <c r="AG110" s="318"/>
      <c r="AH110" s="318"/>
      <c r="AI110" s="318"/>
      <c r="AJ110" s="318"/>
      <c r="AK110" s="318"/>
      <c r="AL110" s="318"/>
      <c r="AM110" s="318"/>
    </row>
    <row r="111" spans="1:40" ht="14.1" customHeight="1" x14ac:dyDescent="0.25">
      <c r="A111" s="326"/>
      <c r="B111" s="318"/>
      <c r="C111" s="318"/>
      <c r="D111" s="688"/>
      <c r="E111" s="606">
        <v>0</v>
      </c>
      <c r="F111" s="610">
        <v>0</v>
      </c>
      <c r="G111" s="856">
        <f t="shared" si="16"/>
        <v>0</v>
      </c>
      <c r="I111" s="882"/>
      <c r="J111" s="882"/>
      <c r="K111" s="882"/>
      <c r="L111" s="882"/>
      <c r="M111" s="882"/>
      <c r="AB111" s="318"/>
      <c r="AC111" s="318"/>
      <c r="AD111" s="318"/>
      <c r="AE111" s="318"/>
      <c r="AF111" s="318"/>
      <c r="AG111" s="318"/>
      <c r="AH111" s="318"/>
      <c r="AI111" s="318"/>
      <c r="AJ111" s="318"/>
      <c r="AK111" s="318"/>
      <c r="AL111" s="318"/>
      <c r="AM111" s="318"/>
    </row>
    <row r="112" spans="1:40" ht="14.1" customHeight="1" x14ac:dyDescent="0.25">
      <c r="A112" s="326"/>
      <c r="B112" s="318"/>
      <c r="C112" s="318"/>
      <c r="D112" s="688"/>
      <c r="E112" s="606"/>
      <c r="F112" s="610"/>
      <c r="G112" s="856">
        <f t="shared" si="16"/>
        <v>0</v>
      </c>
      <c r="I112" s="882"/>
      <c r="J112" s="882"/>
      <c r="K112" s="882"/>
      <c r="L112" s="882"/>
      <c r="M112" s="882"/>
      <c r="AB112" s="318"/>
      <c r="AC112" s="318"/>
      <c r="AD112" s="318"/>
      <c r="AE112" s="318"/>
      <c r="AF112" s="318"/>
      <c r="AG112" s="318"/>
      <c r="AH112" s="318"/>
      <c r="AI112" s="318"/>
      <c r="AJ112" s="318"/>
      <c r="AK112" s="318"/>
      <c r="AL112" s="318"/>
      <c r="AM112" s="318"/>
    </row>
    <row r="113" spans="1:39" ht="14.1" customHeight="1" x14ac:dyDescent="0.25">
      <c r="A113" s="326"/>
      <c r="B113" s="318"/>
      <c r="C113" s="318"/>
      <c r="D113" s="688"/>
      <c r="E113" s="606"/>
      <c r="F113" s="610"/>
      <c r="G113" s="856">
        <f t="shared" si="16"/>
        <v>0</v>
      </c>
      <c r="I113" s="882"/>
      <c r="J113" s="882"/>
      <c r="K113" s="882"/>
      <c r="L113" s="882"/>
      <c r="M113" s="882"/>
      <c r="AB113" s="318"/>
      <c r="AC113" s="318"/>
      <c r="AD113" s="318"/>
      <c r="AE113" s="318"/>
      <c r="AF113" s="318"/>
      <c r="AG113" s="318"/>
      <c r="AH113" s="318"/>
      <c r="AI113" s="318"/>
      <c r="AJ113" s="318"/>
      <c r="AK113" s="318"/>
      <c r="AL113" s="318"/>
      <c r="AM113" s="318"/>
    </row>
    <row r="114" spans="1:39" ht="14.1" customHeight="1" x14ac:dyDescent="0.25">
      <c r="A114" s="326"/>
      <c r="B114" s="318"/>
      <c r="C114" s="318"/>
      <c r="D114" s="688"/>
      <c r="E114" s="606"/>
      <c r="F114" s="610"/>
      <c r="G114" s="856">
        <f t="shared" si="16"/>
        <v>0</v>
      </c>
      <c r="I114" s="882"/>
      <c r="J114" s="882"/>
      <c r="K114" s="882"/>
      <c r="L114" s="882"/>
      <c r="M114" s="882"/>
      <c r="AB114" s="318"/>
      <c r="AC114" s="318"/>
      <c r="AD114" s="318"/>
      <c r="AE114" s="318"/>
      <c r="AF114" s="318"/>
      <c r="AG114" s="318"/>
      <c r="AH114" s="318"/>
      <c r="AI114" s="318"/>
      <c r="AJ114" s="318"/>
      <c r="AK114" s="318"/>
      <c r="AL114" s="318"/>
      <c r="AM114" s="318"/>
    </row>
    <row r="115" spans="1:39" ht="14.1" customHeight="1" x14ac:dyDescent="0.25">
      <c r="A115" s="326"/>
      <c r="B115" s="318"/>
      <c r="C115" s="318"/>
      <c r="D115" s="688"/>
      <c r="E115" s="606"/>
      <c r="F115" s="610"/>
      <c r="G115" s="856">
        <f t="shared" si="16"/>
        <v>0</v>
      </c>
      <c r="I115" s="882"/>
      <c r="J115" s="882"/>
      <c r="K115" s="882"/>
      <c r="L115" s="882"/>
      <c r="M115" s="882"/>
      <c r="AB115" s="318"/>
      <c r="AC115" s="318"/>
      <c r="AD115" s="318"/>
      <c r="AE115" s="318"/>
      <c r="AF115" s="318"/>
      <c r="AG115" s="318"/>
      <c r="AH115" s="318"/>
      <c r="AI115" s="318"/>
      <c r="AJ115" s="318"/>
      <c r="AK115" s="318"/>
      <c r="AL115" s="318"/>
      <c r="AM115" s="318"/>
    </row>
    <row r="116" spans="1:39" ht="14.1" customHeight="1" x14ac:dyDescent="0.25">
      <c r="A116" s="326"/>
      <c r="B116" s="318"/>
      <c r="C116" s="318"/>
      <c r="D116" s="688"/>
      <c r="E116" s="606"/>
      <c r="F116" s="610"/>
      <c r="G116" s="856">
        <f t="shared" si="16"/>
        <v>0</v>
      </c>
      <c r="I116" s="882"/>
      <c r="J116" s="882"/>
      <c r="K116" s="882"/>
      <c r="L116" s="882"/>
      <c r="M116" s="882"/>
      <c r="AB116" s="318"/>
      <c r="AC116" s="318"/>
      <c r="AD116" s="318"/>
      <c r="AE116" s="318"/>
      <c r="AF116" s="318"/>
      <c r="AG116" s="318"/>
      <c r="AH116" s="318"/>
      <c r="AI116" s="318"/>
      <c r="AJ116" s="318"/>
      <c r="AK116" s="318"/>
      <c r="AL116" s="318"/>
      <c r="AM116" s="318"/>
    </row>
    <row r="117" spans="1:39" ht="14.1" customHeight="1" x14ac:dyDescent="0.25">
      <c r="A117" s="326"/>
      <c r="B117" s="318"/>
      <c r="C117" s="318"/>
      <c r="D117" s="688"/>
      <c r="E117" s="606"/>
      <c r="F117" s="610"/>
      <c r="G117" s="856">
        <f t="shared" si="16"/>
        <v>0</v>
      </c>
      <c r="I117" s="882"/>
      <c r="J117" s="882"/>
      <c r="K117" s="882"/>
      <c r="L117" s="882"/>
      <c r="M117" s="882"/>
      <c r="AB117" s="318"/>
      <c r="AC117" s="318"/>
      <c r="AD117" s="318"/>
      <c r="AE117" s="318"/>
      <c r="AF117" s="318"/>
      <c r="AG117" s="318"/>
      <c r="AH117" s="318"/>
      <c r="AI117" s="318"/>
      <c r="AJ117" s="318"/>
      <c r="AK117" s="318"/>
      <c r="AL117" s="318"/>
      <c r="AM117" s="318"/>
    </row>
    <row r="118" spans="1:39" ht="14.1" customHeight="1" x14ac:dyDescent="0.25">
      <c r="A118" s="326"/>
      <c r="B118" s="318"/>
      <c r="C118" s="318"/>
      <c r="D118" s="688"/>
      <c r="E118" s="606"/>
      <c r="F118" s="610"/>
      <c r="G118" s="856">
        <f t="shared" si="16"/>
        <v>0</v>
      </c>
      <c r="I118" s="882"/>
      <c r="J118" s="882"/>
      <c r="K118" s="882"/>
      <c r="L118" s="882"/>
      <c r="M118" s="882"/>
      <c r="AB118" s="318"/>
      <c r="AC118" s="318"/>
      <c r="AD118" s="318"/>
      <c r="AE118" s="318"/>
      <c r="AF118" s="318"/>
      <c r="AG118" s="318"/>
      <c r="AH118" s="318"/>
      <c r="AI118" s="318"/>
      <c r="AJ118" s="318"/>
      <c r="AK118" s="318"/>
      <c r="AL118" s="318"/>
      <c r="AM118" s="318"/>
    </row>
    <row r="119" spans="1:39" ht="14.1" customHeight="1" x14ac:dyDescent="0.25">
      <c r="A119" s="326"/>
      <c r="B119" s="318"/>
      <c r="C119" s="318"/>
      <c r="D119" s="688"/>
      <c r="E119" s="606"/>
      <c r="F119" s="610"/>
      <c r="G119" s="856">
        <f t="shared" si="16"/>
        <v>0</v>
      </c>
      <c r="I119" s="882"/>
      <c r="J119" s="882"/>
      <c r="K119" s="882"/>
      <c r="L119" s="882"/>
      <c r="M119" s="882"/>
      <c r="AB119" s="318"/>
      <c r="AC119" s="318"/>
      <c r="AD119" s="318"/>
      <c r="AE119" s="318"/>
      <c r="AF119" s="318"/>
      <c r="AG119" s="318"/>
      <c r="AH119" s="318"/>
      <c r="AI119" s="318"/>
      <c r="AJ119" s="318"/>
      <c r="AK119" s="318"/>
      <c r="AL119" s="318"/>
      <c r="AM119" s="318"/>
    </row>
    <row r="120" spans="1:39" ht="14.1" customHeight="1" x14ac:dyDescent="0.25">
      <c r="A120" s="326"/>
      <c r="B120" s="318"/>
      <c r="C120" s="318"/>
      <c r="D120" s="688"/>
      <c r="E120" s="606"/>
      <c r="F120" s="610"/>
      <c r="G120" s="856">
        <f t="shared" si="16"/>
        <v>0</v>
      </c>
      <c r="I120" s="882"/>
      <c r="J120" s="882"/>
      <c r="K120" s="882"/>
      <c r="L120" s="882"/>
      <c r="M120" s="882"/>
      <c r="O120" s="527"/>
      <c r="AB120" s="318"/>
      <c r="AC120" s="318"/>
      <c r="AD120" s="318"/>
      <c r="AE120" s="318"/>
      <c r="AF120" s="318"/>
      <c r="AG120" s="318"/>
      <c r="AH120" s="318"/>
      <c r="AI120" s="318"/>
      <c r="AJ120" s="318"/>
      <c r="AK120" s="318"/>
      <c r="AL120" s="318"/>
      <c r="AM120" s="318"/>
    </row>
    <row r="121" spans="1:39" ht="14.1" customHeight="1" thickBot="1" x14ac:dyDescent="0.3">
      <c r="A121" s="326"/>
      <c r="B121" s="318"/>
      <c r="C121" s="318"/>
      <c r="D121" s="688"/>
      <c r="E121" s="606"/>
      <c r="F121" s="610"/>
      <c r="G121" s="856">
        <f t="shared" si="16"/>
        <v>0</v>
      </c>
      <c r="I121" s="882"/>
      <c r="J121" s="882"/>
      <c r="K121" s="882"/>
      <c r="L121" s="882"/>
      <c r="M121" s="882"/>
      <c r="AB121" s="318"/>
      <c r="AC121" s="318"/>
      <c r="AD121" s="318"/>
      <c r="AE121" s="318"/>
      <c r="AF121" s="318"/>
      <c r="AG121" s="318"/>
      <c r="AH121" s="318"/>
      <c r="AI121" s="318"/>
      <c r="AJ121" s="318"/>
      <c r="AK121" s="318"/>
      <c r="AL121" s="318"/>
      <c r="AM121" s="318"/>
    </row>
    <row r="122" spans="1:39" ht="14.1" customHeight="1" x14ac:dyDescent="0.25">
      <c r="A122" s="326"/>
      <c r="B122" s="318"/>
      <c r="C122" s="318"/>
      <c r="D122" s="688"/>
      <c r="E122" s="606"/>
      <c r="F122" s="610"/>
      <c r="G122" s="856">
        <f t="shared" si="16"/>
        <v>0</v>
      </c>
      <c r="H122" s="994" t="s">
        <v>615</v>
      </c>
      <c r="I122" s="882"/>
      <c r="J122" s="882"/>
      <c r="K122" s="882"/>
      <c r="L122" s="882"/>
      <c r="M122" s="882"/>
      <c r="AB122" s="318"/>
      <c r="AC122" s="318"/>
      <c r="AD122" s="318"/>
      <c r="AE122" s="318"/>
      <c r="AF122" s="318"/>
      <c r="AG122" s="318"/>
      <c r="AH122" s="318"/>
      <c r="AI122" s="318"/>
      <c r="AJ122" s="318"/>
      <c r="AK122" s="318"/>
      <c r="AL122" s="318"/>
      <c r="AM122" s="318"/>
    </row>
    <row r="123" spans="1:39" ht="14.1" customHeight="1" x14ac:dyDescent="0.25">
      <c r="A123" s="326"/>
      <c r="B123" s="318"/>
      <c r="C123" s="318"/>
      <c r="D123" s="688"/>
      <c r="E123" s="606"/>
      <c r="F123" s="610"/>
      <c r="G123" s="856">
        <f t="shared" si="16"/>
        <v>0</v>
      </c>
      <c r="H123" s="995"/>
      <c r="I123" s="882"/>
      <c r="J123" s="882"/>
      <c r="K123" s="882"/>
      <c r="L123" s="882"/>
      <c r="M123" s="882"/>
      <c r="AB123" s="318"/>
      <c r="AC123" s="318"/>
      <c r="AD123" s="318"/>
      <c r="AE123" s="318"/>
      <c r="AF123" s="318"/>
      <c r="AG123" s="318"/>
      <c r="AH123" s="318"/>
      <c r="AI123" s="318"/>
      <c r="AJ123" s="318"/>
      <c r="AK123" s="318"/>
      <c r="AL123" s="318"/>
      <c r="AM123" s="318"/>
    </row>
    <row r="124" spans="1:39" ht="14.1" customHeight="1" thickBot="1" x14ac:dyDescent="0.3">
      <c r="A124" s="326"/>
      <c r="B124" s="318"/>
      <c r="C124" s="318"/>
      <c r="D124" s="700"/>
      <c r="E124" s="707"/>
      <c r="F124" s="701"/>
      <c r="G124" s="857">
        <f t="shared" si="16"/>
        <v>0</v>
      </c>
      <c r="H124" s="996"/>
      <c r="I124" s="882"/>
      <c r="J124" s="882"/>
      <c r="K124" s="882"/>
      <c r="L124" s="882"/>
      <c r="M124" s="882"/>
      <c r="AB124" s="318"/>
      <c r="AC124" s="318"/>
      <c r="AD124" s="318"/>
      <c r="AE124" s="318"/>
      <c r="AF124" s="318"/>
      <c r="AG124" s="318"/>
      <c r="AH124" s="318"/>
      <c r="AI124" s="318"/>
      <c r="AJ124" s="318"/>
      <c r="AK124" s="318"/>
      <c r="AL124" s="318"/>
      <c r="AM124" s="318"/>
    </row>
    <row r="125" spans="1:39" ht="14.1" customHeight="1" thickBot="1" x14ac:dyDescent="0.3">
      <c r="A125" s="326"/>
      <c r="B125" s="318"/>
      <c r="C125" s="318"/>
      <c r="D125" s="858" t="s">
        <v>533</v>
      </c>
      <c r="E125" s="859"/>
      <c r="F125" s="860"/>
      <c r="G125" s="861">
        <f>SUM(G104:G124)</f>
        <v>378</v>
      </c>
      <c r="H125" s="842">
        <f>IF($D$7=$AC$38,(G125*(1+$AD$38)),IF($D$7=$AC$39,(G125*(1+$AD$39)),IF($D$7=$AC$40,(G125*(1+$AD$40)),(G125*(1+$AD$41)))))</f>
        <v>415.8</v>
      </c>
      <c r="I125" s="882"/>
      <c r="J125" s="882"/>
      <c r="K125" s="882"/>
      <c r="L125" s="882"/>
      <c r="M125" s="882"/>
      <c r="AB125" s="318"/>
      <c r="AC125" s="318"/>
      <c r="AD125" s="318"/>
      <c r="AE125" s="318"/>
      <c r="AF125" s="318"/>
      <c r="AG125" s="318"/>
      <c r="AH125" s="318"/>
      <c r="AI125" s="318"/>
      <c r="AJ125" s="318"/>
      <c r="AK125" s="318"/>
      <c r="AL125" s="318"/>
      <c r="AM125" s="318"/>
    </row>
    <row r="126" spans="1:39" ht="14.1" customHeight="1" thickBot="1" x14ac:dyDescent="0.25">
      <c r="A126" s="326"/>
      <c r="B126" s="318"/>
      <c r="C126" s="318"/>
      <c r="D126" s="887"/>
      <c r="E126" s="888"/>
      <c r="F126" s="888"/>
      <c r="G126" s="882"/>
      <c r="H126" s="882"/>
      <c r="I126" s="882"/>
      <c r="J126" s="882"/>
      <c r="K126" s="882"/>
      <c r="L126" s="882"/>
      <c r="M126" s="882"/>
      <c r="AB126" s="318"/>
      <c r="AC126" s="318"/>
      <c r="AD126" s="318"/>
      <c r="AE126" s="318"/>
      <c r="AF126" s="318"/>
      <c r="AG126" s="318"/>
      <c r="AH126" s="318"/>
      <c r="AI126" s="318"/>
      <c r="AJ126" s="318"/>
      <c r="AK126" s="318"/>
      <c r="AL126" s="318"/>
      <c r="AM126" s="318"/>
    </row>
    <row r="127" spans="1:39" ht="14.1" customHeight="1" thickBot="1" x14ac:dyDescent="0.25">
      <c r="A127" s="326"/>
      <c r="B127" s="318"/>
      <c r="C127" s="318"/>
      <c r="D127" s="852" t="s">
        <v>420</v>
      </c>
      <c r="E127" s="991"/>
      <c r="F127" s="992"/>
      <c r="G127" s="993"/>
      <c r="I127" s="882"/>
      <c r="J127" s="882"/>
      <c r="K127" s="882"/>
      <c r="L127" s="882"/>
      <c r="M127" s="882"/>
      <c r="AB127" s="318"/>
      <c r="AC127" s="318"/>
      <c r="AD127" s="318"/>
      <c r="AE127" s="318"/>
      <c r="AF127" s="318"/>
      <c r="AG127" s="318"/>
      <c r="AH127" s="318"/>
      <c r="AI127" s="318"/>
      <c r="AJ127" s="318"/>
      <c r="AK127" s="318"/>
      <c r="AL127" s="318"/>
      <c r="AM127" s="318"/>
    </row>
    <row r="128" spans="1:39" ht="14.1" customHeight="1" thickBot="1" x14ac:dyDescent="0.25">
      <c r="A128" s="326"/>
      <c r="B128" s="318"/>
      <c r="C128" s="318"/>
      <c r="D128" s="862" t="s">
        <v>457</v>
      </c>
      <c r="E128" s="854" t="s">
        <v>7</v>
      </c>
      <c r="F128" s="855" t="s">
        <v>437</v>
      </c>
      <c r="G128" s="843" t="s">
        <v>488</v>
      </c>
      <c r="H128" s="879"/>
      <c r="I128" s="882"/>
      <c r="J128" s="882"/>
      <c r="K128" s="882"/>
      <c r="L128" s="882"/>
      <c r="M128" s="882"/>
      <c r="AB128" s="318"/>
      <c r="AC128" s="318"/>
      <c r="AD128" s="318"/>
      <c r="AE128" s="318"/>
      <c r="AF128" s="318"/>
      <c r="AG128" s="318"/>
      <c r="AH128" s="318"/>
      <c r="AI128" s="318"/>
      <c r="AJ128" s="318"/>
      <c r="AK128" s="318"/>
      <c r="AL128" s="318"/>
      <c r="AM128" s="318"/>
    </row>
    <row r="129" spans="1:39" ht="14.1" customHeight="1" x14ac:dyDescent="0.25">
      <c r="A129" s="326"/>
      <c r="B129" s="318"/>
      <c r="C129" s="318"/>
      <c r="D129" s="763" t="s">
        <v>548</v>
      </c>
      <c r="E129" s="606">
        <v>0</v>
      </c>
      <c r="F129" s="610">
        <v>0</v>
      </c>
      <c r="G129" s="856">
        <f>E129*F129</f>
        <v>0</v>
      </c>
      <c r="I129" s="882"/>
      <c r="J129" s="882"/>
      <c r="K129" s="882"/>
      <c r="L129" s="882"/>
      <c r="M129" s="882"/>
      <c r="AB129" s="318"/>
      <c r="AC129" s="318"/>
      <c r="AD129" s="318"/>
      <c r="AE129" s="318"/>
      <c r="AF129" s="318"/>
      <c r="AG129" s="318"/>
      <c r="AH129" s="318"/>
      <c r="AI129" s="318"/>
      <c r="AJ129" s="318"/>
      <c r="AK129" s="318"/>
      <c r="AL129" s="318"/>
      <c r="AM129" s="318"/>
    </row>
    <row r="130" spans="1:39" ht="14.1" customHeight="1" x14ac:dyDescent="0.25">
      <c r="A130" s="326"/>
      <c r="B130" s="318"/>
      <c r="C130" s="318"/>
      <c r="D130" s="763" t="s">
        <v>549</v>
      </c>
      <c r="E130" s="606">
        <v>0</v>
      </c>
      <c r="F130" s="610">
        <v>0</v>
      </c>
      <c r="G130" s="856">
        <f t="shared" ref="G130:G143" si="17">E130*F130</f>
        <v>0</v>
      </c>
      <c r="I130" s="882"/>
      <c r="J130" s="882"/>
      <c r="K130" s="882"/>
      <c r="L130" s="882"/>
      <c r="M130" s="882"/>
      <c r="AB130" s="318"/>
      <c r="AC130" s="318"/>
      <c r="AD130" s="318"/>
      <c r="AE130" s="318"/>
      <c r="AF130" s="318"/>
      <c r="AG130" s="318"/>
      <c r="AH130" s="318"/>
      <c r="AI130" s="318"/>
      <c r="AJ130" s="318"/>
      <c r="AK130" s="318"/>
      <c r="AL130" s="318"/>
      <c r="AM130" s="318"/>
    </row>
    <row r="131" spans="1:39" ht="14.1" customHeight="1" x14ac:dyDescent="0.25">
      <c r="A131" s="326"/>
      <c r="B131" s="318"/>
      <c r="C131" s="318"/>
      <c r="D131" s="763" t="s">
        <v>550</v>
      </c>
      <c r="E131" s="606">
        <v>0</v>
      </c>
      <c r="F131" s="610">
        <v>0</v>
      </c>
      <c r="G131" s="856">
        <f t="shared" si="17"/>
        <v>0</v>
      </c>
      <c r="I131" s="882"/>
      <c r="J131" s="882"/>
      <c r="K131" s="882"/>
      <c r="L131" s="882"/>
      <c r="M131" s="882"/>
      <c r="AB131" s="318"/>
      <c r="AC131" s="318"/>
      <c r="AD131" s="318"/>
      <c r="AE131" s="318"/>
      <c r="AF131" s="318"/>
      <c r="AG131" s="318"/>
      <c r="AH131" s="318"/>
      <c r="AI131" s="318"/>
      <c r="AJ131" s="318"/>
      <c r="AK131" s="318"/>
      <c r="AL131" s="318"/>
      <c r="AM131" s="318"/>
    </row>
    <row r="132" spans="1:39" ht="14.1" customHeight="1" x14ac:dyDescent="0.25">
      <c r="A132" s="326"/>
      <c r="B132" s="318"/>
      <c r="C132" s="318"/>
      <c r="D132" s="763" t="s">
        <v>551</v>
      </c>
      <c r="E132" s="606">
        <v>0</v>
      </c>
      <c r="F132" s="610">
        <v>0</v>
      </c>
      <c r="G132" s="856">
        <f t="shared" si="17"/>
        <v>0</v>
      </c>
      <c r="I132" s="882"/>
      <c r="J132" s="882"/>
      <c r="K132" s="882"/>
      <c r="L132" s="882"/>
      <c r="M132" s="882"/>
      <c r="AB132" s="318"/>
      <c r="AC132" s="318"/>
      <c r="AD132" s="318"/>
      <c r="AE132" s="318"/>
      <c r="AF132" s="318"/>
      <c r="AG132" s="318"/>
      <c r="AH132" s="318"/>
      <c r="AI132" s="318"/>
      <c r="AJ132" s="318"/>
      <c r="AK132" s="318"/>
      <c r="AL132" s="318"/>
      <c r="AM132" s="318"/>
    </row>
    <row r="133" spans="1:39" ht="14.1" customHeight="1" x14ac:dyDescent="0.25">
      <c r="A133" s="326"/>
      <c r="B133" s="318"/>
      <c r="C133" s="318"/>
      <c r="D133" s="763" t="s">
        <v>552</v>
      </c>
      <c r="E133" s="606">
        <v>0</v>
      </c>
      <c r="F133" s="610">
        <v>0</v>
      </c>
      <c r="G133" s="856">
        <f t="shared" si="17"/>
        <v>0</v>
      </c>
      <c r="I133" s="882"/>
      <c r="J133" s="882"/>
      <c r="K133" s="882"/>
      <c r="L133" s="882"/>
      <c r="M133" s="882"/>
      <c r="N133" s="341"/>
      <c r="AB133" s="318"/>
      <c r="AC133" s="318"/>
      <c r="AD133" s="318"/>
      <c r="AE133" s="318"/>
      <c r="AF133" s="318"/>
      <c r="AG133" s="318"/>
      <c r="AH133" s="318"/>
      <c r="AI133" s="318"/>
      <c r="AJ133" s="318"/>
      <c r="AK133" s="318"/>
      <c r="AL133" s="318"/>
      <c r="AM133" s="318"/>
    </row>
    <row r="134" spans="1:39" ht="14.1" customHeight="1" x14ac:dyDescent="0.25">
      <c r="A134" s="326"/>
      <c r="B134" s="318"/>
      <c r="C134" s="318"/>
      <c r="D134" s="763" t="s">
        <v>553</v>
      </c>
      <c r="E134" s="606">
        <v>0</v>
      </c>
      <c r="F134" s="610">
        <v>0</v>
      </c>
      <c r="G134" s="856">
        <f t="shared" si="17"/>
        <v>0</v>
      </c>
      <c r="I134" s="882"/>
      <c r="J134" s="882"/>
      <c r="K134" s="882"/>
      <c r="L134" s="882"/>
      <c r="M134" s="882"/>
      <c r="N134" s="341"/>
      <c r="AB134" s="318"/>
      <c r="AC134" s="318"/>
      <c r="AD134" s="318"/>
      <c r="AE134" s="318"/>
      <c r="AF134" s="318"/>
      <c r="AG134" s="318"/>
      <c r="AH134" s="318"/>
      <c r="AI134" s="318"/>
      <c r="AJ134" s="318"/>
      <c r="AK134" s="318"/>
      <c r="AL134" s="318"/>
      <c r="AM134" s="318"/>
    </row>
    <row r="135" spans="1:39" ht="14.1" customHeight="1" x14ac:dyDescent="0.25">
      <c r="A135" s="326"/>
      <c r="B135" s="318"/>
      <c r="C135" s="318"/>
      <c r="D135" s="763" t="s">
        <v>554</v>
      </c>
      <c r="E135" s="568">
        <v>0</v>
      </c>
      <c r="F135" s="610">
        <v>0</v>
      </c>
      <c r="G135" s="856">
        <f t="shared" si="17"/>
        <v>0</v>
      </c>
      <c r="I135" s="882"/>
      <c r="J135" s="882"/>
      <c r="K135" s="882"/>
      <c r="L135" s="882"/>
      <c r="M135" s="882"/>
      <c r="AB135" s="318"/>
      <c r="AC135" s="318"/>
      <c r="AD135" s="318"/>
      <c r="AE135" s="318"/>
      <c r="AF135" s="318"/>
      <c r="AG135" s="318"/>
      <c r="AH135" s="318"/>
      <c r="AI135" s="318"/>
      <c r="AJ135" s="318"/>
      <c r="AK135" s="318"/>
      <c r="AL135" s="318"/>
      <c r="AM135" s="318"/>
    </row>
    <row r="136" spans="1:39" ht="14.1" customHeight="1" x14ac:dyDescent="0.25">
      <c r="A136" s="326"/>
      <c r="B136" s="318"/>
      <c r="C136" s="318"/>
      <c r="D136" s="763" t="s">
        <v>555</v>
      </c>
      <c r="E136" s="611">
        <v>0</v>
      </c>
      <c r="F136" s="610">
        <v>0</v>
      </c>
      <c r="G136" s="856">
        <f t="shared" si="17"/>
        <v>0</v>
      </c>
      <c r="I136" s="882"/>
      <c r="J136" s="882"/>
      <c r="K136" s="882"/>
      <c r="L136" s="882"/>
      <c r="M136" s="882"/>
      <c r="AB136" s="318"/>
      <c r="AC136" s="318"/>
      <c r="AD136" s="318"/>
      <c r="AE136" s="318"/>
      <c r="AF136" s="318"/>
      <c r="AG136" s="318"/>
      <c r="AH136" s="318"/>
      <c r="AI136" s="318"/>
      <c r="AJ136" s="318"/>
      <c r="AK136" s="318"/>
      <c r="AL136" s="318"/>
      <c r="AM136" s="318"/>
    </row>
    <row r="137" spans="1:39" ht="14.1" customHeight="1" x14ac:dyDescent="0.25">
      <c r="A137" s="326"/>
      <c r="B137" s="318"/>
      <c r="C137" s="318"/>
      <c r="D137" s="763" t="s">
        <v>556</v>
      </c>
      <c r="E137" s="611">
        <v>0</v>
      </c>
      <c r="F137" s="610">
        <v>0</v>
      </c>
      <c r="G137" s="856">
        <f t="shared" si="17"/>
        <v>0</v>
      </c>
      <c r="I137" s="882"/>
      <c r="J137" s="882"/>
      <c r="K137" s="882"/>
      <c r="L137" s="882"/>
      <c r="M137" s="882"/>
      <c r="AB137" s="318"/>
      <c r="AC137" s="318"/>
      <c r="AD137" s="318"/>
      <c r="AE137" s="318"/>
      <c r="AF137" s="318"/>
      <c r="AG137" s="318"/>
      <c r="AH137" s="318"/>
      <c r="AI137" s="318"/>
      <c r="AJ137" s="318"/>
      <c r="AK137" s="318"/>
      <c r="AL137" s="318"/>
      <c r="AM137" s="318"/>
    </row>
    <row r="138" spans="1:39" ht="14.1" customHeight="1" x14ac:dyDescent="0.25">
      <c r="A138" s="326"/>
      <c r="B138" s="318"/>
      <c r="C138" s="318"/>
      <c r="D138" s="763" t="s">
        <v>557</v>
      </c>
      <c r="E138" s="611">
        <v>0</v>
      </c>
      <c r="F138" s="610">
        <v>0</v>
      </c>
      <c r="G138" s="856">
        <f t="shared" si="17"/>
        <v>0</v>
      </c>
      <c r="I138" s="882"/>
      <c r="J138" s="882"/>
      <c r="K138" s="882"/>
      <c r="L138" s="882"/>
      <c r="M138" s="882"/>
      <c r="AB138" s="318"/>
      <c r="AC138" s="318"/>
      <c r="AD138" s="318"/>
      <c r="AE138" s="318"/>
      <c r="AF138" s="318"/>
      <c r="AG138" s="318"/>
      <c r="AH138" s="318"/>
      <c r="AI138" s="318"/>
      <c r="AJ138" s="318"/>
      <c r="AK138" s="318"/>
      <c r="AL138" s="318"/>
      <c r="AM138" s="318"/>
    </row>
    <row r="139" spans="1:39" ht="14.1" customHeight="1" x14ac:dyDescent="0.25">
      <c r="A139" s="326"/>
      <c r="B139" s="318"/>
      <c r="C139" s="318"/>
      <c r="D139" s="763" t="s">
        <v>558</v>
      </c>
      <c r="E139" s="611">
        <v>0</v>
      </c>
      <c r="F139" s="610">
        <v>0</v>
      </c>
      <c r="G139" s="856">
        <f t="shared" si="17"/>
        <v>0</v>
      </c>
      <c r="I139" s="882"/>
      <c r="J139" s="882"/>
      <c r="K139" s="882"/>
      <c r="L139" s="882"/>
      <c r="M139" s="882"/>
      <c r="AB139" s="318"/>
      <c r="AC139" s="318"/>
      <c r="AD139" s="318"/>
      <c r="AE139" s="318"/>
      <c r="AF139" s="318"/>
      <c r="AG139" s="318"/>
      <c r="AH139" s="318"/>
      <c r="AI139" s="318"/>
      <c r="AJ139" s="318"/>
      <c r="AK139" s="318"/>
      <c r="AL139" s="318"/>
      <c r="AM139" s="318"/>
    </row>
    <row r="140" spans="1:39" ht="14.1" customHeight="1" x14ac:dyDescent="0.25">
      <c r="A140" s="326"/>
      <c r="B140" s="318"/>
      <c r="C140" s="318"/>
      <c r="D140" s="688"/>
      <c r="E140" s="611"/>
      <c r="F140" s="610"/>
      <c r="G140" s="856">
        <f t="shared" si="17"/>
        <v>0</v>
      </c>
      <c r="H140" s="325"/>
      <c r="I140" s="882"/>
      <c r="J140" s="882"/>
      <c r="K140" s="882"/>
      <c r="L140" s="882"/>
      <c r="M140" s="882"/>
      <c r="AB140" s="318"/>
      <c r="AC140" s="318"/>
      <c r="AD140" s="318"/>
      <c r="AE140" s="318"/>
      <c r="AF140" s="318"/>
      <c r="AG140" s="318"/>
      <c r="AH140" s="318"/>
      <c r="AI140" s="318"/>
      <c r="AJ140" s="318"/>
      <c r="AK140" s="318"/>
      <c r="AL140" s="318"/>
      <c r="AM140" s="318"/>
    </row>
    <row r="141" spans="1:39" ht="14.1" customHeight="1" x14ac:dyDescent="0.25">
      <c r="A141" s="326"/>
      <c r="B141" s="318"/>
      <c r="C141" s="318"/>
      <c r="D141" s="688"/>
      <c r="E141" s="611"/>
      <c r="F141" s="610"/>
      <c r="G141" s="856">
        <f t="shared" si="17"/>
        <v>0</v>
      </c>
      <c r="I141" s="882"/>
      <c r="J141" s="882"/>
      <c r="K141" s="882"/>
      <c r="L141" s="882"/>
      <c r="M141" s="882"/>
      <c r="AB141" s="318"/>
      <c r="AC141" s="318"/>
      <c r="AD141" s="318"/>
      <c r="AE141" s="318"/>
      <c r="AF141" s="318"/>
      <c r="AG141" s="318"/>
      <c r="AH141" s="318"/>
      <c r="AI141" s="318"/>
      <c r="AJ141" s="318"/>
      <c r="AK141" s="318"/>
      <c r="AL141" s="318"/>
      <c r="AM141" s="318"/>
    </row>
    <row r="142" spans="1:39" ht="14.1" customHeight="1" thickBot="1" x14ac:dyDescent="0.3">
      <c r="A142" s="326"/>
      <c r="B142" s="318"/>
      <c r="C142" s="318"/>
      <c r="D142" s="688"/>
      <c r="E142" s="611"/>
      <c r="F142" s="610"/>
      <c r="G142" s="856">
        <f t="shared" si="17"/>
        <v>0</v>
      </c>
      <c r="I142" s="882"/>
      <c r="J142" s="882"/>
      <c r="K142" s="882"/>
      <c r="L142" s="882"/>
      <c r="M142" s="882"/>
      <c r="AB142" s="318"/>
      <c r="AC142" s="318"/>
      <c r="AD142" s="318"/>
      <c r="AE142" s="318"/>
      <c r="AF142" s="318"/>
      <c r="AG142" s="318"/>
      <c r="AH142" s="318"/>
      <c r="AI142" s="318"/>
      <c r="AJ142" s="318"/>
      <c r="AK142" s="318"/>
      <c r="AL142" s="318"/>
      <c r="AM142" s="318"/>
    </row>
    <row r="143" spans="1:39" ht="14.1" customHeight="1" x14ac:dyDescent="0.25">
      <c r="A143" s="326"/>
      <c r="B143" s="318"/>
      <c r="C143" s="318"/>
      <c r="D143" s="688"/>
      <c r="E143" s="611"/>
      <c r="F143" s="610"/>
      <c r="G143" s="856">
        <f t="shared" si="17"/>
        <v>0</v>
      </c>
      <c r="H143" s="994" t="s">
        <v>615</v>
      </c>
      <c r="I143" s="882"/>
      <c r="J143" s="882"/>
      <c r="K143" s="882"/>
      <c r="L143" s="882"/>
      <c r="M143" s="882"/>
      <c r="AB143" s="318"/>
      <c r="AC143" s="318"/>
      <c r="AD143" s="318"/>
      <c r="AE143" s="318"/>
      <c r="AF143" s="318"/>
      <c r="AG143" s="318"/>
      <c r="AH143" s="318"/>
      <c r="AI143" s="318"/>
      <c r="AJ143" s="318"/>
      <c r="AK143" s="318"/>
      <c r="AL143" s="318"/>
      <c r="AM143" s="318"/>
    </row>
    <row r="144" spans="1:39" ht="14.1" customHeight="1" x14ac:dyDescent="0.25">
      <c r="A144" s="326"/>
      <c r="B144" s="318"/>
      <c r="C144" s="318"/>
      <c r="D144" s="728"/>
      <c r="E144" s="611"/>
      <c r="F144" s="610"/>
      <c r="G144" s="856"/>
      <c r="H144" s="995"/>
      <c r="I144" s="882"/>
      <c r="J144" s="882"/>
      <c r="K144" s="882"/>
      <c r="L144" s="882"/>
      <c r="M144" s="882"/>
      <c r="AB144" s="318"/>
      <c r="AC144" s="318"/>
      <c r="AD144" s="318"/>
      <c r="AE144" s="318"/>
      <c r="AF144" s="318"/>
      <c r="AG144" s="318"/>
      <c r="AH144" s="318"/>
      <c r="AI144" s="318"/>
      <c r="AJ144" s="318"/>
      <c r="AK144" s="318"/>
      <c r="AL144" s="318"/>
      <c r="AM144" s="318"/>
    </row>
    <row r="145" spans="1:39" ht="14.1" customHeight="1" thickBot="1" x14ac:dyDescent="0.3">
      <c r="A145" s="326"/>
      <c r="B145" s="318"/>
      <c r="C145" s="318"/>
      <c r="D145" s="729"/>
      <c r="E145" s="613"/>
      <c r="F145" s="610"/>
      <c r="G145" s="856"/>
      <c r="H145" s="996"/>
      <c r="I145" s="884"/>
      <c r="J145" s="885"/>
      <c r="K145" s="885"/>
      <c r="L145" s="885"/>
      <c r="M145" s="885"/>
      <c r="AB145" s="318"/>
      <c r="AC145" s="318"/>
      <c r="AD145" s="318"/>
      <c r="AE145" s="318"/>
      <c r="AF145" s="318"/>
      <c r="AG145" s="318"/>
      <c r="AH145" s="318"/>
      <c r="AI145" s="318"/>
      <c r="AJ145" s="318"/>
      <c r="AK145" s="318"/>
      <c r="AL145" s="318"/>
      <c r="AM145" s="318"/>
    </row>
    <row r="146" spans="1:39" ht="14.1" customHeight="1" thickBot="1" x14ac:dyDescent="0.25">
      <c r="A146" s="326"/>
      <c r="B146" s="318"/>
      <c r="C146" s="318"/>
      <c r="D146" s="858" t="s">
        <v>535</v>
      </c>
      <c r="E146" s="859"/>
      <c r="F146" s="860"/>
      <c r="G146" s="583">
        <f>SUM(G129:G145)</f>
        <v>0</v>
      </c>
      <c r="H146" s="863">
        <f>IF($D$7=$AC$48,(G146*(1+$AD$48)),IF($D$7=$AC$49,(G146*(1+$AD$49)),IF($D$7=$AC$50,(G146*(1+$AD$50)),(G146*(1+$AD$51)))))</f>
        <v>0</v>
      </c>
      <c r="J146" s="325"/>
      <c r="AB146" s="318"/>
      <c r="AC146" s="318"/>
      <c r="AD146" s="318"/>
      <c r="AE146" s="318"/>
      <c r="AF146" s="318"/>
      <c r="AG146" s="318"/>
      <c r="AH146" s="318"/>
      <c r="AI146" s="318"/>
      <c r="AJ146" s="318"/>
      <c r="AK146" s="318"/>
      <c r="AL146" s="318"/>
      <c r="AM146" s="318"/>
    </row>
    <row r="147" spans="1:39" ht="14.1" customHeight="1" thickBot="1" x14ac:dyDescent="0.25">
      <c r="A147" s="326"/>
      <c r="B147" s="318"/>
      <c r="C147" s="318"/>
      <c r="D147" s="318"/>
      <c r="E147" s="658"/>
      <c r="F147" s="658"/>
      <c r="G147" s="658"/>
      <c r="AB147" s="318"/>
      <c r="AC147" s="318"/>
      <c r="AD147" s="318"/>
      <c r="AE147" s="318"/>
      <c r="AF147" s="318"/>
      <c r="AG147" s="318"/>
      <c r="AH147" s="318"/>
      <c r="AI147" s="318"/>
      <c r="AJ147" s="318"/>
      <c r="AK147" s="318"/>
      <c r="AL147" s="318"/>
      <c r="AM147" s="318"/>
    </row>
    <row r="148" spans="1:39" ht="15.75" thickBot="1" x14ac:dyDescent="0.25">
      <c r="A148" s="364"/>
      <c r="B148" s="318"/>
      <c r="C148" s="803"/>
      <c r="D148" s="1053" t="s">
        <v>438</v>
      </c>
      <c r="E148" s="1054"/>
      <c r="F148" s="1054"/>
      <c r="G148" s="1055"/>
      <c r="J148" s="325"/>
      <c r="V148" s="332"/>
      <c r="AB148" s="318"/>
      <c r="AC148" s="318"/>
      <c r="AD148" s="318"/>
      <c r="AE148" s="318"/>
      <c r="AF148" s="318"/>
      <c r="AG148" s="318"/>
      <c r="AH148" s="318"/>
      <c r="AI148" s="318"/>
      <c r="AJ148" s="318"/>
      <c r="AK148" s="318"/>
      <c r="AL148" s="318"/>
      <c r="AM148" s="318"/>
    </row>
    <row r="149" spans="1:39" ht="14.1" customHeight="1" thickBot="1" x14ac:dyDescent="0.25">
      <c r="A149" s="326"/>
      <c r="B149" s="318"/>
      <c r="C149" s="803"/>
      <c r="D149" s="864" t="s">
        <v>381</v>
      </c>
      <c r="E149" s="855" t="s">
        <v>7</v>
      </c>
      <c r="F149" s="855" t="s">
        <v>437</v>
      </c>
      <c r="G149" s="843" t="s">
        <v>488</v>
      </c>
      <c r="J149" s="325"/>
      <c r="AB149" s="318"/>
      <c r="AC149" s="318"/>
      <c r="AD149" s="318"/>
      <c r="AE149" s="318"/>
      <c r="AF149" s="318"/>
      <c r="AG149" s="318"/>
      <c r="AH149" s="318"/>
      <c r="AI149" s="318"/>
      <c r="AJ149" s="318"/>
      <c r="AK149" s="318"/>
      <c r="AL149" s="318"/>
      <c r="AM149" s="318"/>
    </row>
    <row r="150" spans="1:39" ht="14.1" customHeight="1" x14ac:dyDescent="0.2">
      <c r="A150" s="326"/>
      <c r="B150" s="318"/>
      <c r="C150" s="803"/>
      <c r="D150" s="730" t="s">
        <v>272</v>
      </c>
      <c r="E150" s="616"/>
      <c r="F150" s="591"/>
      <c r="G150" s="865">
        <f t="shared" ref="G150:G159" si="18">E150*F150</f>
        <v>0</v>
      </c>
      <c r="J150" s="325"/>
      <c r="AB150" s="318"/>
      <c r="AC150" s="318"/>
      <c r="AD150" s="318"/>
      <c r="AE150" s="318"/>
      <c r="AF150" s="318"/>
      <c r="AG150" s="318"/>
      <c r="AH150" s="318"/>
      <c r="AI150" s="318"/>
      <c r="AJ150" s="318"/>
      <c r="AK150" s="318"/>
      <c r="AL150" s="318"/>
      <c r="AM150" s="318"/>
    </row>
    <row r="151" spans="1:39" ht="14.1" customHeight="1" x14ac:dyDescent="0.2">
      <c r="A151" s="326"/>
      <c r="B151" s="318"/>
      <c r="C151" s="803"/>
      <c r="D151" s="730" t="s">
        <v>270</v>
      </c>
      <c r="E151" s="611"/>
      <c r="F151" s="568"/>
      <c r="G151" s="865">
        <f t="shared" si="18"/>
        <v>0</v>
      </c>
      <c r="J151" s="325"/>
      <c r="AB151" s="318"/>
      <c r="AC151" s="318"/>
      <c r="AD151" s="318"/>
      <c r="AE151" s="318"/>
      <c r="AF151" s="318"/>
      <c r="AG151" s="318"/>
      <c r="AH151" s="318"/>
      <c r="AI151" s="318"/>
      <c r="AJ151" s="318"/>
      <c r="AK151" s="318"/>
      <c r="AL151" s="318"/>
      <c r="AM151" s="318"/>
    </row>
    <row r="152" spans="1:39" ht="14.1" customHeight="1" x14ac:dyDescent="0.2">
      <c r="A152" s="326"/>
      <c r="B152" s="318"/>
      <c r="C152" s="803"/>
      <c r="D152" s="730" t="s">
        <v>271</v>
      </c>
      <c r="E152" s="611"/>
      <c r="F152" s="568"/>
      <c r="G152" s="865">
        <f t="shared" si="18"/>
        <v>0</v>
      </c>
      <c r="J152" s="325"/>
      <c r="AB152" s="318"/>
      <c r="AC152" s="318"/>
      <c r="AD152" s="318"/>
      <c r="AE152" s="318"/>
      <c r="AF152" s="318"/>
      <c r="AG152" s="318"/>
      <c r="AH152" s="318"/>
      <c r="AI152" s="318"/>
      <c r="AJ152" s="318"/>
      <c r="AK152" s="318"/>
      <c r="AL152" s="318"/>
      <c r="AM152" s="318"/>
    </row>
    <row r="153" spans="1:39" ht="14.1" customHeight="1" x14ac:dyDescent="0.2">
      <c r="A153" s="326"/>
      <c r="B153" s="318"/>
      <c r="C153" s="803"/>
      <c r="D153" s="730" t="s">
        <v>418</v>
      </c>
      <c r="E153" s="611"/>
      <c r="F153" s="568"/>
      <c r="G153" s="865">
        <f t="shared" si="18"/>
        <v>0</v>
      </c>
      <c r="J153" s="325"/>
      <c r="AB153" s="318"/>
      <c r="AC153" s="318"/>
      <c r="AD153" s="318"/>
      <c r="AE153" s="318"/>
      <c r="AF153" s="318"/>
      <c r="AG153" s="318"/>
      <c r="AH153" s="318"/>
      <c r="AI153" s="318"/>
      <c r="AJ153" s="318"/>
      <c r="AK153" s="318"/>
      <c r="AL153" s="318"/>
      <c r="AM153" s="318"/>
    </row>
    <row r="154" spans="1:39" ht="14.1" customHeight="1" x14ac:dyDescent="0.2">
      <c r="A154" s="326"/>
      <c r="B154" s="318"/>
      <c r="C154" s="803"/>
      <c r="D154" s="730" t="s">
        <v>274</v>
      </c>
      <c r="E154" s="611"/>
      <c r="F154" s="568"/>
      <c r="G154" s="865">
        <f t="shared" si="18"/>
        <v>0</v>
      </c>
      <c r="J154" s="325"/>
      <c r="AB154" s="318"/>
      <c r="AC154" s="318"/>
      <c r="AD154" s="318"/>
      <c r="AE154" s="318"/>
      <c r="AF154" s="318"/>
      <c r="AG154" s="318"/>
      <c r="AH154" s="318"/>
      <c r="AI154" s="318"/>
      <c r="AJ154" s="318"/>
      <c r="AK154" s="318"/>
      <c r="AL154" s="318"/>
      <c r="AM154" s="318"/>
    </row>
    <row r="155" spans="1:39" ht="14.1" customHeight="1" x14ac:dyDescent="0.2">
      <c r="A155" s="326"/>
      <c r="B155" s="318"/>
      <c r="C155" s="803"/>
      <c r="D155" s="731"/>
      <c r="E155" s="611"/>
      <c r="F155" s="568"/>
      <c r="G155" s="865">
        <f t="shared" si="18"/>
        <v>0</v>
      </c>
      <c r="J155" s="325"/>
      <c r="AB155" s="318"/>
      <c r="AC155" s="318"/>
      <c r="AD155" s="318"/>
      <c r="AE155" s="318"/>
      <c r="AF155" s="318"/>
      <c r="AG155" s="318"/>
      <c r="AH155" s="318"/>
      <c r="AI155" s="318"/>
      <c r="AJ155" s="318"/>
      <c r="AK155" s="318"/>
      <c r="AL155" s="318"/>
      <c r="AM155" s="318"/>
    </row>
    <row r="156" spans="1:39" ht="14.1" customHeight="1" x14ac:dyDescent="0.2">
      <c r="A156" s="326"/>
      <c r="B156" s="318"/>
      <c r="C156" s="803"/>
      <c r="D156" s="731"/>
      <c r="E156" s="611"/>
      <c r="F156" s="568"/>
      <c r="G156" s="865">
        <f t="shared" si="18"/>
        <v>0</v>
      </c>
      <c r="J156" s="325"/>
      <c r="AB156" s="318"/>
      <c r="AC156" s="318"/>
      <c r="AD156" s="318"/>
      <c r="AE156" s="318"/>
      <c r="AF156" s="318"/>
      <c r="AG156" s="318"/>
      <c r="AH156" s="318"/>
      <c r="AI156" s="318"/>
      <c r="AJ156" s="318"/>
      <c r="AK156" s="318"/>
      <c r="AL156" s="318"/>
      <c r="AM156" s="318"/>
    </row>
    <row r="157" spans="1:39" ht="14.1" customHeight="1" x14ac:dyDescent="0.2">
      <c r="A157" s="326"/>
      <c r="B157" s="318"/>
      <c r="C157" s="803"/>
      <c r="D157" s="731"/>
      <c r="E157" s="611"/>
      <c r="F157" s="568"/>
      <c r="G157" s="865">
        <f t="shared" si="18"/>
        <v>0</v>
      </c>
      <c r="J157" s="325"/>
      <c r="AB157" s="318"/>
      <c r="AC157" s="318"/>
      <c r="AD157" s="318"/>
      <c r="AE157" s="318"/>
      <c r="AF157" s="318"/>
      <c r="AG157" s="318"/>
      <c r="AH157" s="318"/>
      <c r="AI157" s="318"/>
      <c r="AJ157" s="318"/>
      <c r="AK157" s="318"/>
      <c r="AL157" s="318"/>
      <c r="AM157" s="318"/>
    </row>
    <row r="158" spans="1:39" ht="14.1" customHeight="1" x14ac:dyDescent="0.2">
      <c r="A158" s="326"/>
      <c r="B158" s="318"/>
      <c r="C158" s="803"/>
      <c r="D158" s="731"/>
      <c r="E158" s="611"/>
      <c r="F158" s="568"/>
      <c r="G158" s="865">
        <f t="shared" si="18"/>
        <v>0</v>
      </c>
      <c r="J158" s="325"/>
      <c r="AB158" s="318"/>
      <c r="AC158" s="318"/>
      <c r="AD158" s="318"/>
      <c r="AE158" s="318"/>
      <c r="AF158" s="318"/>
      <c r="AG158" s="318"/>
      <c r="AH158" s="318"/>
      <c r="AI158" s="318"/>
      <c r="AJ158" s="318"/>
      <c r="AK158" s="318"/>
      <c r="AL158" s="318"/>
      <c r="AM158" s="318"/>
    </row>
    <row r="159" spans="1:39" ht="14.1" customHeight="1" thickBot="1" x14ac:dyDescent="0.25">
      <c r="A159" s="326"/>
      <c r="B159" s="318"/>
      <c r="C159" s="803"/>
      <c r="D159" s="731"/>
      <c r="E159" s="613"/>
      <c r="F159" s="569"/>
      <c r="G159" s="865">
        <f t="shared" si="18"/>
        <v>0</v>
      </c>
      <c r="J159" s="325"/>
      <c r="AA159" s="332"/>
      <c r="AB159" s="318"/>
      <c r="AC159" s="318"/>
      <c r="AD159" s="318"/>
      <c r="AE159" s="318"/>
      <c r="AF159" s="318"/>
      <c r="AG159" s="318"/>
      <c r="AH159" s="318"/>
      <c r="AI159" s="318"/>
      <c r="AJ159" s="318"/>
      <c r="AK159" s="318"/>
      <c r="AL159" s="318"/>
      <c r="AM159" s="318"/>
    </row>
    <row r="160" spans="1:39" ht="14.1" customHeight="1" thickBot="1" x14ac:dyDescent="0.25">
      <c r="A160" s="326"/>
      <c r="B160" s="318"/>
      <c r="C160" s="803"/>
      <c r="D160" s="845" t="s">
        <v>438</v>
      </c>
      <c r="E160" s="860">
        <f>SUM(E150:E159)</f>
        <v>0</v>
      </c>
      <c r="F160" s="860"/>
      <c r="G160" s="860">
        <f>SUM(G150:G159)</f>
        <v>0</v>
      </c>
      <c r="J160" s="325"/>
      <c r="AA160" s="332"/>
      <c r="AB160" s="318"/>
      <c r="AC160" s="318"/>
      <c r="AD160" s="318"/>
      <c r="AE160" s="318"/>
      <c r="AF160" s="318"/>
      <c r="AG160" s="318"/>
      <c r="AH160" s="318"/>
      <c r="AI160" s="318"/>
      <c r="AJ160" s="318"/>
      <c r="AK160" s="318"/>
      <c r="AL160" s="318"/>
      <c r="AM160" s="318"/>
    </row>
    <row r="161" spans="1:47" ht="14.1" customHeight="1" thickBot="1" x14ac:dyDescent="0.25">
      <c r="A161" s="326"/>
      <c r="B161" s="318"/>
      <c r="C161" s="803"/>
      <c r="D161" s="803"/>
      <c r="E161" s="776"/>
      <c r="F161" s="776"/>
      <c r="G161" s="776"/>
      <c r="H161" s="526"/>
      <c r="J161" s="527"/>
      <c r="K161" s="341"/>
      <c r="L161" s="332"/>
      <c r="M161" s="332"/>
      <c r="N161" s="332"/>
      <c r="O161" s="332"/>
      <c r="P161" s="332"/>
      <c r="AA161" s="332"/>
      <c r="AB161" s="318"/>
      <c r="AC161" s="318"/>
      <c r="AD161" s="318"/>
      <c r="AE161" s="318"/>
      <c r="AF161" s="318"/>
      <c r="AG161" s="318"/>
      <c r="AH161" s="318"/>
      <c r="AI161" s="318"/>
      <c r="AJ161" s="318"/>
      <c r="AK161" s="318"/>
      <c r="AL161" s="318"/>
      <c r="AM161" s="318"/>
    </row>
    <row r="162" spans="1:47" ht="15" x14ac:dyDescent="0.2">
      <c r="A162" s="326"/>
      <c r="B162" s="318"/>
      <c r="C162" s="1049"/>
      <c r="D162" s="1056" t="s">
        <v>434</v>
      </c>
      <c r="E162" s="1057"/>
      <c r="F162" s="1057"/>
      <c r="G162" s="1058"/>
      <c r="J162" s="527"/>
      <c r="K162" s="341"/>
      <c r="L162" s="332"/>
      <c r="M162" s="332"/>
      <c r="N162" s="332"/>
      <c r="O162" s="332"/>
      <c r="P162" s="332"/>
      <c r="Q162" s="332"/>
      <c r="R162" s="332"/>
      <c r="S162" s="332"/>
      <c r="T162" s="332"/>
      <c r="U162" s="332"/>
      <c r="V162" s="332"/>
      <c r="W162" s="332"/>
      <c r="X162" s="332"/>
      <c r="Y162" s="332"/>
      <c r="Z162" s="332"/>
      <c r="AA162" s="332"/>
      <c r="AB162" s="782"/>
      <c r="AC162" s="318"/>
      <c r="AD162" s="318"/>
      <c r="AE162" s="318"/>
      <c r="AF162" s="318"/>
      <c r="AG162" s="318"/>
      <c r="AH162" s="318"/>
      <c r="AI162" s="318"/>
      <c r="AJ162" s="318"/>
      <c r="AK162" s="318"/>
      <c r="AL162" s="318"/>
      <c r="AM162" s="318"/>
      <c r="AO162" s="332"/>
      <c r="AP162" s="332"/>
      <c r="AQ162" s="332"/>
      <c r="AR162" s="332"/>
      <c r="AS162" s="332"/>
      <c r="AT162" s="332"/>
      <c r="AU162" s="332"/>
    </row>
    <row r="163" spans="1:47" ht="14.1" customHeight="1" x14ac:dyDescent="0.2">
      <c r="A163" s="326"/>
      <c r="B163" s="318"/>
      <c r="C163" s="1049"/>
      <c r="D163" s="866"/>
      <c r="E163" s="867" t="s">
        <v>426</v>
      </c>
      <c r="F163" s="867" t="s">
        <v>616</v>
      </c>
      <c r="G163" s="868" t="s">
        <v>488</v>
      </c>
      <c r="H163" s="325"/>
      <c r="K163" s="341"/>
      <c r="L163" s="332"/>
      <c r="M163" s="332"/>
      <c r="N163" s="332"/>
      <c r="O163" s="332"/>
      <c r="P163" s="332"/>
      <c r="Q163" s="332"/>
      <c r="R163" s="332"/>
      <c r="S163" s="332"/>
      <c r="T163" s="332"/>
      <c r="U163" s="332"/>
      <c r="V163" s="332"/>
      <c r="W163" s="332"/>
      <c r="X163" s="332"/>
      <c r="Y163" s="332"/>
      <c r="Z163" s="332"/>
      <c r="AA163" s="332"/>
      <c r="AB163" s="782"/>
      <c r="AC163" s="318"/>
      <c r="AD163" s="318"/>
      <c r="AE163" s="318"/>
      <c r="AF163" s="318"/>
      <c r="AG163" s="318"/>
      <c r="AH163" s="318"/>
      <c r="AI163" s="318"/>
      <c r="AJ163" s="318"/>
      <c r="AK163" s="318"/>
      <c r="AL163" s="318"/>
      <c r="AM163" s="318"/>
      <c r="AO163" s="332"/>
      <c r="AP163" s="332"/>
      <c r="AQ163" s="332"/>
      <c r="AR163" s="332"/>
      <c r="AS163" s="332"/>
      <c r="AT163" s="332"/>
      <c r="AU163" s="332"/>
    </row>
    <row r="164" spans="1:47" ht="14.1" customHeight="1" x14ac:dyDescent="0.2">
      <c r="A164" s="326"/>
      <c r="B164" s="318"/>
      <c r="C164" s="1049"/>
      <c r="D164" s="749"/>
      <c r="E164" s="748"/>
      <c r="F164" s="748"/>
      <c r="G164" s="868">
        <f>E164*F164</f>
        <v>0</v>
      </c>
      <c r="K164" s="341"/>
      <c r="L164" s="332"/>
      <c r="M164" s="332"/>
      <c r="N164" s="332"/>
      <c r="O164" s="332"/>
      <c r="P164" s="332"/>
      <c r="Q164" s="332"/>
      <c r="R164" s="332"/>
      <c r="S164" s="332"/>
      <c r="T164" s="332"/>
      <c r="U164" s="332"/>
      <c r="V164" s="332"/>
      <c r="W164" s="332"/>
      <c r="X164" s="332"/>
      <c r="Y164" s="332"/>
      <c r="Z164" s="332"/>
      <c r="AA164" s="332"/>
      <c r="AB164" s="782"/>
      <c r="AC164" s="318"/>
      <c r="AD164" s="318"/>
      <c r="AE164" s="318"/>
      <c r="AF164" s="318"/>
      <c r="AG164" s="318"/>
      <c r="AH164" s="318"/>
      <c r="AI164" s="318"/>
      <c r="AJ164" s="318"/>
      <c r="AK164" s="318"/>
      <c r="AL164" s="318"/>
      <c r="AM164" s="318"/>
      <c r="AO164" s="332"/>
      <c r="AP164" s="332"/>
      <c r="AQ164" s="332"/>
      <c r="AR164" s="332"/>
      <c r="AS164" s="332"/>
      <c r="AT164" s="332"/>
      <c r="AU164" s="332"/>
    </row>
    <row r="165" spans="1:47" ht="14.1" customHeight="1" thickBot="1" x14ac:dyDescent="0.25">
      <c r="A165" s="326"/>
      <c r="B165" s="318"/>
      <c r="C165" s="1049"/>
      <c r="D165" s="749"/>
      <c r="E165" s="748"/>
      <c r="F165" s="748"/>
      <c r="G165" s="868">
        <f t="shared" ref="G165:G168" si="19">E165*F165</f>
        <v>0</v>
      </c>
      <c r="K165" s="341"/>
      <c r="L165" s="332"/>
      <c r="M165" s="332"/>
      <c r="N165" s="332"/>
      <c r="O165" s="332"/>
      <c r="P165" s="332"/>
      <c r="Q165" s="332"/>
      <c r="R165" s="332"/>
      <c r="S165" s="332"/>
      <c r="T165" s="332"/>
      <c r="U165" s="332"/>
      <c r="V165" s="332"/>
      <c r="W165" s="332"/>
      <c r="X165" s="332"/>
      <c r="Y165" s="332"/>
      <c r="Z165" s="332"/>
      <c r="AA165" s="332"/>
      <c r="AB165" s="782"/>
      <c r="AC165" s="318"/>
      <c r="AD165" s="318"/>
      <c r="AE165" s="318"/>
      <c r="AF165" s="318"/>
      <c r="AG165" s="318"/>
      <c r="AH165" s="318"/>
      <c r="AI165" s="318"/>
      <c r="AJ165" s="318"/>
      <c r="AK165" s="318"/>
      <c r="AL165" s="318"/>
      <c r="AM165" s="318"/>
      <c r="AO165" s="332"/>
      <c r="AP165" s="332"/>
      <c r="AQ165" s="332"/>
      <c r="AR165" s="332"/>
      <c r="AS165" s="332"/>
      <c r="AT165" s="332"/>
      <c r="AU165" s="332"/>
    </row>
    <row r="166" spans="1:47" ht="14.1" customHeight="1" x14ac:dyDescent="0.2">
      <c r="A166" s="326"/>
      <c r="B166" s="318"/>
      <c r="C166" s="1049"/>
      <c r="D166" s="749"/>
      <c r="E166" s="748"/>
      <c r="F166" s="748"/>
      <c r="G166" s="868">
        <f t="shared" si="19"/>
        <v>0</v>
      </c>
      <c r="H166" s="1016" t="s">
        <v>615</v>
      </c>
      <c r="K166" s="341"/>
      <c r="L166" s="332"/>
      <c r="M166" s="332"/>
      <c r="N166" s="332"/>
      <c r="O166" s="332"/>
      <c r="P166" s="332"/>
      <c r="Q166" s="332"/>
      <c r="R166" s="332"/>
      <c r="S166" s="332"/>
      <c r="T166" s="332"/>
      <c r="U166" s="332"/>
      <c r="V166" s="332"/>
      <c r="W166" s="332"/>
      <c r="X166" s="332"/>
      <c r="Y166" s="332"/>
      <c r="Z166" s="332"/>
      <c r="AA166" s="332"/>
      <c r="AB166" s="318"/>
      <c r="AC166" s="318"/>
      <c r="AD166" s="318"/>
      <c r="AE166" s="318"/>
      <c r="AF166" s="782"/>
      <c r="AG166" s="782"/>
      <c r="AH166" s="782"/>
      <c r="AI166" s="782"/>
      <c r="AJ166" s="782"/>
      <c r="AK166" s="782"/>
      <c r="AL166" s="318"/>
      <c r="AM166" s="318"/>
      <c r="AO166" s="332"/>
      <c r="AP166" s="332"/>
      <c r="AQ166" s="332"/>
      <c r="AR166" s="332"/>
      <c r="AS166" s="332"/>
      <c r="AT166" s="332"/>
      <c r="AU166" s="332"/>
    </row>
    <row r="167" spans="1:47" ht="14.1" customHeight="1" x14ac:dyDescent="0.2">
      <c r="A167" s="326"/>
      <c r="B167" s="318"/>
      <c r="C167" s="1049"/>
      <c r="D167" s="749"/>
      <c r="E167" s="748"/>
      <c r="F167" s="748"/>
      <c r="G167" s="868">
        <f t="shared" si="19"/>
        <v>0</v>
      </c>
      <c r="H167" s="1017"/>
      <c r="K167" s="341"/>
      <c r="L167" s="332"/>
      <c r="M167" s="332"/>
      <c r="N167" s="332"/>
      <c r="O167" s="332"/>
      <c r="P167" s="332"/>
      <c r="Q167" s="332"/>
      <c r="R167" s="332"/>
      <c r="S167" s="332"/>
      <c r="T167" s="332"/>
      <c r="U167" s="332"/>
      <c r="V167" s="332"/>
      <c r="W167" s="332"/>
      <c r="X167" s="332"/>
      <c r="Y167" s="332"/>
      <c r="Z167" s="332"/>
      <c r="AA167" s="332"/>
      <c r="AB167" s="318"/>
      <c r="AC167" s="318"/>
      <c r="AD167" s="318"/>
      <c r="AE167" s="318"/>
      <c r="AF167" s="318"/>
      <c r="AG167" s="318"/>
      <c r="AH167" s="318"/>
      <c r="AI167" s="318"/>
      <c r="AJ167" s="318"/>
      <c r="AK167" s="318"/>
      <c r="AL167" s="318"/>
      <c r="AM167" s="318"/>
      <c r="AO167" s="332"/>
      <c r="AP167" s="332"/>
      <c r="AQ167" s="332"/>
      <c r="AR167" s="332"/>
      <c r="AS167" s="332"/>
      <c r="AT167" s="332"/>
      <c r="AU167" s="332"/>
    </row>
    <row r="168" spans="1:47" ht="14.1" customHeight="1" thickBot="1" x14ac:dyDescent="0.25">
      <c r="A168" s="326"/>
      <c r="B168" s="318"/>
      <c r="C168" s="1049"/>
      <c r="D168" s="749"/>
      <c r="E168" s="748"/>
      <c r="F168" s="748"/>
      <c r="G168" s="868">
        <f t="shared" si="19"/>
        <v>0</v>
      </c>
      <c r="H168" s="1018"/>
      <c r="I168" s="658"/>
      <c r="J168" s="782"/>
      <c r="K168" s="319"/>
      <c r="L168" s="318"/>
      <c r="M168" s="318"/>
      <c r="P168" s="332"/>
      <c r="Q168" s="332"/>
      <c r="R168" s="332"/>
      <c r="S168" s="332"/>
      <c r="T168" s="332"/>
      <c r="U168" s="332"/>
      <c r="V168" s="332"/>
      <c r="W168" s="332"/>
      <c r="X168" s="332"/>
      <c r="Y168" s="332"/>
      <c r="Z168" s="332"/>
      <c r="AB168" s="318"/>
      <c r="AC168" s="318"/>
      <c r="AD168" s="318"/>
      <c r="AE168" s="318"/>
      <c r="AF168" s="318"/>
      <c r="AG168" s="318"/>
      <c r="AH168" s="318"/>
      <c r="AI168" s="318"/>
      <c r="AJ168" s="318"/>
      <c r="AK168" s="318"/>
      <c r="AL168" s="318"/>
      <c r="AM168" s="318"/>
      <c r="AO168" s="332"/>
      <c r="AP168" s="332"/>
      <c r="AQ168" s="332"/>
      <c r="AR168" s="332"/>
      <c r="AS168" s="332"/>
      <c r="AT168" s="332"/>
      <c r="AU168" s="332"/>
    </row>
    <row r="169" spans="1:47" ht="14.1" customHeight="1" thickBot="1" x14ac:dyDescent="0.25">
      <c r="A169" s="326"/>
      <c r="B169" s="318"/>
      <c r="C169" s="1049"/>
      <c r="D169" s="869" t="s">
        <v>559</v>
      </c>
      <c r="E169" s="785"/>
      <c r="F169" s="870"/>
      <c r="G169" s="871">
        <f>SUM(G164:G168)</f>
        <v>0</v>
      </c>
      <c r="H169" s="689">
        <f>G169+(G169*AK58)</f>
        <v>0</v>
      </c>
      <c r="I169" s="658"/>
      <c r="J169" s="782"/>
      <c r="K169" s="319"/>
      <c r="L169" s="318"/>
      <c r="M169" s="318"/>
      <c r="P169" s="332"/>
      <c r="Q169" s="332"/>
      <c r="R169" s="332"/>
      <c r="S169" s="332"/>
      <c r="T169" s="332"/>
      <c r="U169" s="332"/>
      <c r="V169" s="332"/>
      <c r="W169" s="332"/>
      <c r="X169" s="332"/>
      <c r="Y169" s="332"/>
      <c r="Z169" s="332"/>
      <c r="AB169" s="318"/>
      <c r="AC169" s="318"/>
      <c r="AD169" s="318"/>
      <c r="AE169" s="318"/>
      <c r="AF169" s="318"/>
      <c r="AG169" s="318"/>
      <c r="AH169" s="318"/>
      <c r="AI169" s="318"/>
      <c r="AJ169" s="318"/>
      <c r="AK169" s="318"/>
      <c r="AL169" s="318"/>
      <c r="AM169" s="318"/>
      <c r="AO169" s="332"/>
      <c r="AP169" s="332"/>
      <c r="AQ169" s="332"/>
      <c r="AR169" s="332"/>
      <c r="AS169" s="332"/>
      <c r="AT169" s="332"/>
      <c r="AU169" s="332"/>
    </row>
    <row r="170" spans="1:47" ht="14.1" customHeight="1" thickBot="1" x14ac:dyDescent="0.25">
      <c r="A170" s="326"/>
      <c r="B170" s="318"/>
      <c r="C170" s="803"/>
      <c r="D170" s="318"/>
      <c r="E170" s="658"/>
      <c r="F170" s="658"/>
      <c r="G170" s="658"/>
      <c r="H170" s="658"/>
      <c r="I170" s="658"/>
      <c r="J170" s="318"/>
      <c r="K170" s="318"/>
      <c r="L170" s="318"/>
      <c r="M170" s="782"/>
      <c r="N170" s="332"/>
      <c r="O170" s="332"/>
      <c r="P170" s="332"/>
      <c r="Q170" s="332"/>
      <c r="R170" s="332"/>
      <c r="S170" s="332"/>
      <c r="T170" s="332"/>
      <c r="U170" s="332"/>
      <c r="V170" s="332"/>
      <c r="W170" s="332"/>
      <c r="X170" s="332"/>
      <c r="Y170" s="332"/>
      <c r="Z170" s="332"/>
      <c r="AB170" s="318"/>
      <c r="AC170" s="318"/>
      <c r="AD170" s="318"/>
      <c r="AE170" s="318"/>
      <c r="AF170" s="318"/>
      <c r="AG170" s="318"/>
      <c r="AH170" s="318"/>
      <c r="AI170" s="318"/>
      <c r="AJ170" s="318"/>
      <c r="AK170" s="318"/>
      <c r="AL170" s="318"/>
      <c r="AM170" s="318"/>
      <c r="AO170" s="332"/>
      <c r="AP170" s="332"/>
      <c r="AQ170" s="332"/>
      <c r="AR170" s="332"/>
      <c r="AS170" s="332"/>
      <c r="AT170" s="332"/>
      <c r="AU170" s="332"/>
    </row>
    <row r="171" spans="1:47" ht="38.25" customHeight="1" thickBot="1" x14ac:dyDescent="0.25">
      <c r="B171" s="318"/>
      <c r="C171" s="872"/>
      <c r="D171" s="764" t="s">
        <v>435</v>
      </c>
      <c r="E171" s="765" t="str">
        <f>D7</f>
        <v xml:space="preserve">TOTA - Special </v>
      </c>
      <c r="F171" s="658"/>
      <c r="G171" s="658"/>
      <c r="H171" s="658"/>
      <c r="J171" s="325"/>
      <c r="Q171" s="332"/>
      <c r="R171" s="332"/>
      <c r="S171" s="332"/>
      <c r="T171" s="332"/>
      <c r="U171" s="332"/>
      <c r="V171" s="332"/>
      <c r="W171" s="332"/>
      <c r="X171" s="332"/>
      <c r="AB171" s="318"/>
      <c r="AC171" s="318"/>
      <c r="AD171" s="318"/>
      <c r="AE171" s="318"/>
      <c r="AF171" s="318"/>
      <c r="AG171" s="318"/>
      <c r="AH171" s="318"/>
      <c r="AI171" s="318"/>
      <c r="AJ171" s="318"/>
      <c r="AK171" s="318"/>
      <c r="AL171" s="318"/>
      <c r="AM171" s="318"/>
    </row>
    <row r="172" spans="1:47" ht="14.1" customHeight="1" x14ac:dyDescent="0.2">
      <c r="B172" s="318"/>
      <c r="C172" s="873"/>
      <c r="D172" s="766" t="s">
        <v>450</v>
      </c>
      <c r="E172" s="625"/>
      <c r="F172" s="527"/>
      <c r="J172" s="325"/>
      <c r="AB172" s="318"/>
      <c r="AC172" s="318"/>
      <c r="AD172" s="318"/>
      <c r="AE172" s="318"/>
      <c r="AF172" s="318"/>
      <c r="AG172" s="318"/>
      <c r="AH172" s="318"/>
      <c r="AI172" s="318"/>
      <c r="AJ172" s="318"/>
      <c r="AK172" s="318"/>
      <c r="AL172" s="318"/>
      <c r="AM172" s="318"/>
    </row>
    <row r="173" spans="1:47" ht="14.1" customHeight="1" x14ac:dyDescent="0.2">
      <c r="B173" s="318"/>
      <c r="C173" s="873"/>
      <c r="D173" s="462" t="s">
        <v>624</v>
      </c>
      <c r="E173" s="626">
        <f t="shared" ref="E173:E179" si="20">IF($E$171=$E$222,E224,IF($E$171=$F$222,F224,IF($E$171=$G$222,G224,IF($E$171=$H$222,H224,0))))</f>
        <v>6221.6500000000005</v>
      </c>
      <c r="F173" s="527"/>
      <c r="J173" s="325"/>
      <c r="AB173" s="318"/>
      <c r="AC173" s="318"/>
      <c r="AD173" s="318"/>
      <c r="AE173" s="318"/>
      <c r="AF173" s="318"/>
      <c r="AG173" s="318"/>
      <c r="AH173" s="318"/>
      <c r="AI173" s="318"/>
      <c r="AJ173" s="318"/>
      <c r="AK173" s="318"/>
      <c r="AL173" s="318"/>
      <c r="AM173" s="318"/>
    </row>
    <row r="174" spans="1:47" ht="14.1" customHeight="1" x14ac:dyDescent="0.2">
      <c r="B174" s="318"/>
      <c r="C174" s="873"/>
      <c r="D174" s="462" t="s">
        <v>625</v>
      </c>
      <c r="E174" s="626">
        <f t="shared" si="20"/>
        <v>0</v>
      </c>
      <c r="F174" s="527"/>
      <c r="J174" s="325"/>
      <c r="AB174" s="318"/>
      <c r="AC174" s="318"/>
      <c r="AD174" s="318"/>
      <c r="AE174" s="318"/>
      <c r="AF174" s="318"/>
      <c r="AG174" s="318"/>
      <c r="AH174" s="318"/>
      <c r="AI174" s="318"/>
      <c r="AJ174" s="318"/>
      <c r="AK174" s="318"/>
      <c r="AL174" s="318"/>
      <c r="AM174" s="318"/>
    </row>
    <row r="175" spans="1:47" ht="14.1" customHeight="1" x14ac:dyDescent="0.2">
      <c r="B175" s="318"/>
      <c r="C175" s="873"/>
      <c r="D175" s="463" t="s">
        <v>436</v>
      </c>
      <c r="E175" s="626">
        <f t="shared" si="20"/>
        <v>941.530303030303</v>
      </c>
      <c r="F175" s="527"/>
      <c r="J175" s="325"/>
      <c r="AB175" s="318"/>
      <c r="AC175" s="318"/>
      <c r="AD175" s="318"/>
      <c r="AE175" s="318"/>
      <c r="AF175" s="318"/>
      <c r="AG175" s="318"/>
      <c r="AH175" s="318"/>
      <c r="AI175" s="318"/>
      <c r="AJ175" s="318"/>
      <c r="AK175" s="318"/>
      <c r="AL175" s="318"/>
      <c r="AM175" s="318"/>
    </row>
    <row r="176" spans="1:47" ht="14.1" customHeight="1" x14ac:dyDescent="0.2">
      <c r="B176" s="318"/>
      <c r="C176" s="873"/>
      <c r="D176" s="463" t="s">
        <v>592</v>
      </c>
      <c r="E176" s="626">
        <f t="shared" si="20"/>
        <v>378</v>
      </c>
      <c r="F176" s="527"/>
      <c r="J176" s="325"/>
      <c r="AB176" s="318"/>
      <c r="AC176" s="318"/>
      <c r="AD176" s="318"/>
      <c r="AE176" s="318"/>
      <c r="AF176" s="318"/>
      <c r="AG176" s="318"/>
      <c r="AH176" s="318"/>
      <c r="AI176" s="318"/>
      <c r="AJ176" s="318"/>
      <c r="AK176" s="318"/>
      <c r="AL176" s="318"/>
      <c r="AM176" s="318"/>
    </row>
    <row r="177" spans="2:40" ht="14.1" customHeight="1" x14ac:dyDescent="0.2">
      <c r="B177" s="318"/>
      <c r="C177" s="873"/>
      <c r="D177" s="463" t="s">
        <v>420</v>
      </c>
      <c r="E177" s="626">
        <f t="shared" si="20"/>
        <v>0</v>
      </c>
      <c r="F177" s="527"/>
      <c r="J177" s="325"/>
      <c r="AB177" s="318"/>
      <c r="AC177" s="318"/>
      <c r="AD177" s="318"/>
      <c r="AE177" s="318"/>
      <c r="AF177" s="318"/>
      <c r="AG177" s="318"/>
      <c r="AH177" s="318"/>
      <c r="AI177" s="318"/>
      <c r="AJ177" s="318"/>
      <c r="AK177" s="318"/>
      <c r="AL177" s="318"/>
      <c r="AM177" s="318"/>
    </row>
    <row r="178" spans="2:40" ht="14.1" customHeight="1" x14ac:dyDescent="0.2">
      <c r="B178" s="318"/>
      <c r="C178" s="873"/>
      <c r="D178" s="463" t="s">
        <v>438</v>
      </c>
      <c r="E178" s="626">
        <f t="shared" si="20"/>
        <v>0</v>
      </c>
      <c r="F178" s="527"/>
      <c r="J178" s="325"/>
      <c r="AB178" s="318"/>
      <c r="AC178" s="318"/>
      <c r="AD178" s="318"/>
      <c r="AE178" s="318"/>
      <c r="AF178" s="318"/>
      <c r="AG178" s="318"/>
      <c r="AH178" s="318"/>
      <c r="AI178" s="318"/>
      <c r="AJ178" s="318"/>
      <c r="AK178" s="318"/>
      <c r="AL178" s="318"/>
      <c r="AM178" s="318"/>
    </row>
    <row r="179" spans="2:40" ht="14.1" customHeight="1" x14ac:dyDescent="0.2">
      <c r="B179" s="318"/>
      <c r="C179" s="873"/>
      <c r="D179" s="463" t="s">
        <v>434</v>
      </c>
      <c r="E179" s="626">
        <f t="shared" si="20"/>
        <v>0</v>
      </c>
      <c r="F179" s="527"/>
      <c r="J179" s="325"/>
      <c r="AB179" s="318"/>
      <c r="AC179" s="318"/>
      <c r="AD179" s="318"/>
      <c r="AE179" s="318"/>
      <c r="AF179" s="318"/>
      <c r="AG179" s="318"/>
      <c r="AH179" s="318"/>
      <c r="AI179" s="318"/>
      <c r="AJ179" s="318"/>
      <c r="AK179" s="318"/>
      <c r="AL179" s="318"/>
      <c r="AM179" s="782"/>
      <c r="AN179" s="332"/>
    </row>
    <row r="180" spans="2:40" ht="14.1" customHeight="1" x14ac:dyDescent="0.2">
      <c r="B180" s="318"/>
      <c r="C180" s="803"/>
      <c r="D180" s="465" t="s">
        <v>448</v>
      </c>
      <c r="E180" s="627">
        <f>SUM(E173:E179)</f>
        <v>7541.1803030303035</v>
      </c>
      <c r="F180" s="527"/>
      <c r="J180" s="325"/>
      <c r="AB180" s="318"/>
      <c r="AC180" s="318"/>
      <c r="AD180" s="318"/>
      <c r="AE180" s="318"/>
      <c r="AF180" s="318"/>
      <c r="AG180" s="318"/>
      <c r="AH180" s="318"/>
      <c r="AI180" s="318"/>
      <c r="AJ180" s="318"/>
      <c r="AK180" s="318"/>
      <c r="AL180" s="318"/>
      <c r="AM180" s="782"/>
      <c r="AN180" s="332"/>
    </row>
    <row r="181" spans="2:40" ht="14.1" customHeight="1" x14ac:dyDescent="0.2">
      <c r="B181" s="318"/>
      <c r="C181" s="803"/>
      <c r="D181" s="465"/>
      <c r="E181" s="628"/>
      <c r="F181" s="527"/>
      <c r="J181" s="325"/>
      <c r="AB181" s="318"/>
      <c r="AC181" s="318"/>
      <c r="AD181" s="318"/>
      <c r="AE181" s="318"/>
      <c r="AF181" s="318"/>
      <c r="AG181" s="318"/>
      <c r="AH181" s="318"/>
      <c r="AI181" s="318"/>
      <c r="AJ181" s="318"/>
      <c r="AK181" s="318"/>
      <c r="AL181" s="318"/>
      <c r="AM181" s="782"/>
      <c r="AN181" s="332"/>
    </row>
    <row r="182" spans="2:40" ht="14.1" customHeight="1" x14ac:dyDescent="0.2">
      <c r="B182" s="318"/>
      <c r="C182" s="873"/>
      <c r="D182" s="767" t="s">
        <v>451</v>
      </c>
      <c r="E182" s="629"/>
      <c r="F182" s="527"/>
      <c r="J182" s="325"/>
      <c r="AB182" s="318"/>
      <c r="AC182" s="318"/>
      <c r="AD182" s="318"/>
      <c r="AE182" s="318"/>
      <c r="AF182" s="318"/>
      <c r="AG182" s="318"/>
      <c r="AH182" s="318"/>
      <c r="AI182" s="318"/>
      <c r="AJ182" s="318"/>
      <c r="AK182" s="318"/>
      <c r="AL182" s="318"/>
      <c r="AM182" s="782"/>
      <c r="AN182" s="332"/>
    </row>
    <row r="183" spans="2:40" ht="14.1" customHeight="1" x14ac:dyDescent="0.2">
      <c r="B183" s="318"/>
      <c r="C183" s="803"/>
      <c r="D183" s="462" t="s">
        <v>624</v>
      </c>
      <c r="E183" s="626">
        <f t="shared" ref="E183:E189" si="21">IF($E$171=$E$222,E235,IF($E$171=$F$222,F235,IF($E$171=$G$222,G235,IF($E$171=$H$222,H235,0))))</f>
        <v>6877.067500000001</v>
      </c>
      <c r="F183" s="527"/>
      <c r="J183" s="325"/>
      <c r="AB183" s="318"/>
      <c r="AC183" s="318"/>
      <c r="AD183" s="318"/>
      <c r="AE183" s="318"/>
      <c r="AF183" s="318"/>
      <c r="AG183" s="318"/>
      <c r="AH183" s="318"/>
      <c r="AI183" s="318"/>
      <c r="AJ183" s="318"/>
      <c r="AK183" s="318"/>
      <c r="AL183" s="318"/>
      <c r="AM183" s="318"/>
    </row>
    <row r="184" spans="2:40" ht="14.1" customHeight="1" x14ac:dyDescent="0.2">
      <c r="B184" s="318"/>
      <c r="C184" s="803"/>
      <c r="D184" s="462" t="s">
        <v>625</v>
      </c>
      <c r="E184" s="626">
        <f t="shared" si="21"/>
        <v>0</v>
      </c>
      <c r="F184" s="527"/>
      <c r="J184" s="325"/>
      <c r="AB184" s="318"/>
      <c r="AC184" s="318"/>
      <c r="AD184" s="318"/>
      <c r="AE184" s="318"/>
      <c r="AF184" s="318"/>
      <c r="AG184" s="318"/>
      <c r="AH184" s="318"/>
      <c r="AI184" s="318"/>
      <c r="AJ184" s="318"/>
      <c r="AK184" s="318"/>
      <c r="AL184" s="318"/>
      <c r="AM184" s="318"/>
    </row>
    <row r="185" spans="2:40" ht="14.1" customHeight="1" x14ac:dyDescent="0.2">
      <c r="B185" s="318"/>
      <c r="C185" s="803"/>
      <c r="D185" s="463" t="s">
        <v>436</v>
      </c>
      <c r="E185" s="626">
        <f t="shared" si="21"/>
        <v>1176.9128787878788</v>
      </c>
      <c r="F185" s="527"/>
      <c r="J185" s="325"/>
      <c r="AB185" s="318"/>
      <c r="AC185" s="318"/>
      <c r="AD185" s="318"/>
      <c r="AE185" s="318"/>
      <c r="AF185" s="318"/>
      <c r="AG185" s="318"/>
      <c r="AH185" s="318"/>
      <c r="AI185" s="318"/>
      <c r="AJ185" s="318"/>
      <c r="AK185" s="318"/>
      <c r="AL185" s="318"/>
      <c r="AM185" s="318"/>
    </row>
    <row r="186" spans="2:40" ht="14.1" customHeight="1" x14ac:dyDescent="0.2">
      <c r="B186" s="318"/>
      <c r="C186" s="803"/>
      <c r="D186" s="463" t="s">
        <v>592</v>
      </c>
      <c r="E186" s="626">
        <f t="shared" si="21"/>
        <v>415.8</v>
      </c>
      <c r="F186" s="527"/>
      <c r="J186" s="325"/>
      <c r="AB186" s="318"/>
      <c r="AC186" s="318"/>
      <c r="AD186" s="318"/>
      <c r="AE186" s="318"/>
      <c r="AF186" s="318"/>
      <c r="AG186" s="318"/>
      <c r="AH186" s="318"/>
      <c r="AI186" s="318"/>
      <c r="AJ186" s="318"/>
      <c r="AK186" s="318"/>
      <c r="AL186" s="318"/>
      <c r="AM186" s="318"/>
    </row>
    <row r="187" spans="2:40" ht="14.1" customHeight="1" x14ac:dyDescent="0.2">
      <c r="B187" s="318"/>
      <c r="C187" s="803"/>
      <c r="D187" s="463" t="s">
        <v>420</v>
      </c>
      <c r="E187" s="626">
        <f>IF($E$171=$E$222,E239,IF($E$171=$F$222,F239,IF($E$171=$G$222,G239,IF($E$171=$H$222,H239,0))))</f>
        <v>0</v>
      </c>
      <c r="F187" s="527"/>
      <c r="J187" s="325"/>
      <c r="AB187" s="318"/>
      <c r="AC187" s="318"/>
      <c r="AD187" s="318"/>
      <c r="AE187" s="318"/>
      <c r="AF187" s="318"/>
      <c r="AG187" s="318"/>
      <c r="AH187" s="318"/>
      <c r="AI187" s="318"/>
      <c r="AJ187" s="318"/>
      <c r="AK187" s="318"/>
      <c r="AL187" s="318"/>
      <c r="AM187" s="318"/>
    </row>
    <row r="188" spans="2:40" ht="14.1" customHeight="1" x14ac:dyDescent="0.2">
      <c r="B188" s="318"/>
      <c r="C188" s="803"/>
      <c r="D188" s="463" t="s">
        <v>438</v>
      </c>
      <c r="E188" s="626">
        <f t="shared" si="21"/>
        <v>0</v>
      </c>
      <c r="F188" s="527"/>
      <c r="J188" s="325"/>
      <c r="AB188" s="318"/>
      <c r="AC188" s="318"/>
      <c r="AD188" s="318"/>
      <c r="AE188" s="318"/>
      <c r="AF188" s="318"/>
      <c r="AG188" s="318"/>
      <c r="AH188" s="318"/>
      <c r="AI188" s="318"/>
      <c r="AJ188" s="318"/>
      <c r="AK188" s="318"/>
      <c r="AL188" s="318"/>
      <c r="AM188" s="318"/>
    </row>
    <row r="189" spans="2:40" ht="13.5" customHeight="1" x14ac:dyDescent="0.2">
      <c r="B189" s="318"/>
      <c r="C189" s="803"/>
      <c r="D189" s="463" t="s">
        <v>434</v>
      </c>
      <c r="E189" s="626">
        <f t="shared" si="21"/>
        <v>0</v>
      </c>
      <c r="F189" s="527"/>
      <c r="J189" s="325"/>
      <c r="AB189" s="318"/>
      <c r="AC189" s="318"/>
      <c r="AD189" s="318"/>
      <c r="AE189" s="318"/>
      <c r="AF189" s="318"/>
      <c r="AG189" s="318"/>
      <c r="AH189" s="318"/>
      <c r="AI189" s="318"/>
      <c r="AJ189" s="318"/>
      <c r="AK189" s="318"/>
      <c r="AL189" s="318"/>
      <c r="AM189" s="318"/>
    </row>
    <row r="190" spans="2:40" ht="14.1" customHeight="1" x14ac:dyDescent="0.2">
      <c r="B190" s="318"/>
      <c r="C190" s="803"/>
      <c r="D190" s="468" t="s">
        <v>463</v>
      </c>
      <c r="E190" s="630">
        <f>SUM(E183:E189)</f>
        <v>8469.7803787878802</v>
      </c>
      <c r="F190" s="527"/>
      <c r="J190" s="325"/>
      <c r="AB190" s="318"/>
      <c r="AC190" s="318"/>
      <c r="AD190" s="318"/>
      <c r="AE190" s="318"/>
      <c r="AF190" s="318"/>
      <c r="AG190" s="318"/>
      <c r="AH190" s="318"/>
      <c r="AI190" s="318"/>
      <c r="AJ190" s="318"/>
      <c r="AK190" s="318"/>
      <c r="AL190" s="318"/>
      <c r="AM190" s="318"/>
    </row>
    <row r="191" spans="2:40" ht="14.1" customHeight="1" thickBot="1" x14ac:dyDescent="0.25">
      <c r="B191" s="318"/>
      <c r="C191" s="803"/>
      <c r="D191" s="768" t="s">
        <v>455</v>
      </c>
      <c r="E191" s="690">
        <f>E190-E180</f>
        <v>928.60007575757663</v>
      </c>
      <c r="F191" s="527"/>
      <c r="J191" s="325"/>
      <c r="AB191" s="318"/>
      <c r="AC191" s="318"/>
      <c r="AD191" s="318"/>
      <c r="AE191" s="318"/>
      <c r="AF191" s="318"/>
      <c r="AG191" s="318"/>
      <c r="AH191" s="318"/>
      <c r="AI191" s="318"/>
      <c r="AJ191" s="318"/>
      <c r="AK191" s="318"/>
      <c r="AL191" s="318"/>
      <c r="AM191" s="318"/>
    </row>
    <row r="192" spans="2:40" ht="6.75" customHeight="1" thickBot="1" x14ac:dyDescent="0.25">
      <c r="B192" s="318"/>
      <c r="C192" s="658"/>
      <c r="D192" s="658"/>
      <c r="E192" s="658"/>
      <c r="F192" s="527"/>
      <c r="J192" s="325"/>
      <c r="AB192" s="318"/>
      <c r="AC192" s="318"/>
      <c r="AD192" s="318"/>
      <c r="AE192" s="318"/>
      <c r="AF192" s="318"/>
      <c r="AG192" s="318"/>
      <c r="AH192" s="318"/>
      <c r="AI192" s="318"/>
      <c r="AJ192" s="318"/>
      <c r="AK192" s="318"/>
      <c r="AL192" s="318"/>
      <c r="AM192" s="318"/>
    </row>
    <row r="193" spans="2:39" ht="19.5" thickBot="1" x14ac:dyDescent="0.35">
      <c r="B193" s="318"/>
      <c r="C193" s="803"/>
      <c r="D193" s="769" t="s">
        <v>503</v>
      </c>
      <c r="E193" s="691">
        <f>E190*($F$193)</f>
        <v>-338.79121515151519</v>
      </c>
      <c r="F193" s="752">
        <v>-0.04</v>
      </c>
      <c r="J193" s="325"/>
      <c r="AB193" s="318"/>
      <c r="AC193" s="318"/>
      <c r="AD193" s="318"/>
      <c r="AE193" s="318"/>
      <c r="AF193" s="318"/>
      <c r="AG193" s="318"/>
      <c r="AH193" s="318"/>
      <c r="AI193" s="318"/>
      <c r="AJ193" s="318"/>
      <c r="AK193" s="318"/>
      <c r="AL193" s="318"/>
      <c r="AM193" s="318"/>
    </row>
    <row r="194" spans="2:39" ht="14.1" customHeight="1" thickBot="1" x14ac:dyDescent="0.25">
      <c r="B194" s="318"/>
      <c r="C194" s="803"/>
      <c r="D194" s="770" t="s">
        <v>491</v>
      </c>
      <c r="E194" s="692">
        <f>E191+E193</f>
        <v>589.80886060606144</v>
      </c>
      <c r="F194" s="527"/>
      <c r="J194" s="325"/>
      <c r="AB194" s="318"/>
      <c r="AC194" s="318"/>
      <c r="AD194" s="318"/>
      <c r="AE194" s="318"/>
      <c r="AF194" s="318"/>
      <c r="AG194" s="318"/>
      <c r="AH194" s="318"/>
      <c r="AI194" s="318"/>
      <c r="AJ194" s="318"/>
      <c r="AK194" s="318"/>
      <c r="AL194" s="318"/>
      <c r="AM194" s="318"/>
    </row>
    <row r="195" spans="2:39" ht="14.1" customHeight="1" x14ac:dyDescent="0.2">
      <c r="B195" s="318"/>
      <c r="C195" s="803"/>
      <c r="D195" s="473"/>
      <c r="E195" s="632"/>
      <c r="F195" s="527"/>
      <c r="J195" s="325"/>
      <c r="AD195" s="318"/>
      <c r="AE195" s="318"/>
      <c r="AF195" s="318"/>
      <c r="AG195" s="318"/>
      <c r="AH195" s="318"/>
      <c r="AI195" s="318"/>
      <c r="AJ195" s="318"/>
      <c r="AK195" s="318"/>
      <c r="AL195" s="318"/>
      <c r="AM195" s="318"/>
    </row>
    <row r="196" spans="2:39" ht="14.1" customHeight="1" x14ac:dyDescent="0.2">
      <c r="B196" s="318"/>
      <c r="C196" s="803"/>
      <c r="D196" s="474" t="s">
        <v>454</v>
      </c>
      <c r="E196" s="641">
        <f>E180+E194</f>
        <v>8130.9891636363645</v>
      </c>
      <c r="F196" s="527"/>
      <c r="J196" s="325"/>
      <c r="AD196" s="318"/>
      <c r="AE196" s="318"/>
      <c r="AF196" s="318"/>
      <c r="AG196" s="318"/>
      <c r="AH196" s="318"/>
      <c r="AI196" s="318"/>
      <c r="AJ196" s="318"/>
      <c r="AK196" s="318"/>
      <c r="AL196" s="318"/>
      <c r="AM196" s="318"/>
    </row>
    <row r="197" spans="2:39" ht="14.1" customHeight="1" thickBot="1" x14ac:dyDescent="0.25">
      <c r="B197" s="318"/>
      <c r="C197" s="803"/>
      <c r="D197" s="470"/>
      <c r="E197" s="632"/>
      <c r="F197" s="527"/>
      <c r="J197" s="325"/>
      <c r="AD197" s="318"/>
      <c r="AE197" s="318"/>
      <c r="AF197" s="318"/>
      <c r="AG197" s="318"/>
      <c r="AH197" s="318"/>
      <c r="AI197" s="318"/>
      <c r="AJ197" s="318"/>
      <c r="AK197" s="318"/>
      <c r="AL197" s="318"/>
      <c r="AM197" s="318"/>
    </row>
    <row r="198" spans="2:39" ht="19.5" thickBot="1" x14ac:dyDescent="0.35">
      <c r="B198" s="318"/>
      <c r="C198" s="803"/>
      <c r="D198" s="771" t="s">
        <v>498</v>
      </c>
      <c r="E198" s="693">
        <f>IF($F$198=$AV$23,E196*1.5%,0)</f>
        <v>0</v>
      </c>
      <c r="F198" s="751" t="s">
        <v>527</v>
      </c>
      <c r="G198" s="874" t="s">
        <v>528</v>
      </c>
      <c r="H198" s="844"/>
      <c r="J198" s="325"/>
      <c r="AD198" s="318"/>
      <c r="AE198" s="318"/>
      <c r="AF198" s="318"/>
      <c r="AG198" s="318"/>
      <c r="AH198" s="318"/>
      <c r="AI198" s="318"/>
      <c r="AJ198" s="318"/>
      <c r="AK198" s="318"/>
      <c r="AL198" s="318"/>
      <c r="AM198" s="318"/>
    </row>
    <row r="199" spans="2:39" ht="14.1" customHeight="1" thickBot="1" x14ac:dyDescent="0.25">
      <c r="B199" s="318"/>
      <c r="C199" s="803"/>
      <c r="D199" s="772" t="s">
        <v>489</v>
      </c>
      <c r="E199" s="694">
        <f>E196+E198</f>
        <v>8130.9891636363645</v>
      </c>
      <c r="F199" s="527"/>
      <c r="J199" s="325"/>
      <c r="N199" s="332"/>
      <c r="O199" s="433"/>
      <c r="AE199" s="318"/>
      <c r="AF199" s="318"/>
      <c r="AG199" s="318"/>
      <c r="AH199" s="318"/>
      <c r="AI199" s="318"/>
      <c r="AJ199" s="318"/>
      <c r="AK199" s="318"/>
      <c r="AL199" s="318"/>
      <c r="AM199" s="318"/>
    </row>
    <row r="200" spans="2:39" ht="14.1" customHeight="1" thickBot="1" x14ac:dyDescent="0.25">
      <c r="B200" s="318"/>
      <c r="C200" s="803"/>
      <c r="D200" s="773" t="s">
        <v>492</v>
      </c>
      <c r="E200" s="695">
        <f>(E190+E193-E173-H88)*15%+2</f>
        <v>288.4008745454546</v>
      </c>
      <c r="F200" s="527"/>
      <c r="J200" s="325"/>
      <c r="N200" s="332"/>
      <c r="AE200" s="318"/>
      <c r="AF200" s="318"/>
      <c r="AG200" s="318"/>
      <c r="AH200" s="318"/>
      <c r="AI200" s="318"/>
      <c r="AJ200" s="318"/>
      <c r="AK200" s="318"/>
      <c r="AL200" s="318"/>
      <c r="AM200" s="318"/>
    </row>
    <row r="201" spans="2:39" ht="14.1" customHeight="1" x14ac:dyDescent="0.2">
      <c r="B201" s="318"/>
      <c r="C201" s="803"/>
      <c r="D201" s="774" t="s">
        <v>462</v>
      </c>
      <c r="E201" s="696">
        <f>SUM(E199:E200)</f>
        <v>8419.3900381818185</v>
      </c>
      <c r="F201" s="527">
        <v>7006</v>
      </c>
      <c r="G201" s="332">
        <v>1494</v>
      </c>
      <c r="H201" s="527">
        <f>F201+G201</f>
        <v>8500</v>
      </c>
      <c r="J201" s="325"/>
      <c r="N201" s="332"/>
      <c r="AK201" s="318"/>
      <c r="AL201" s="318"/>
      <c r="AM201" s="318"/>
    </row>
    <row r="202" spans="2:39" ht="14.1" customHeight="1" x14ac:dyDescent="0.2">
      <c r="B202" s="318"/>
      <c r="C202" s="803"/>
      <c r="D202" s="479" t="s">
        <v>427</v>
      </c>
      <c r="E202" s="641"/>
      <c r="F202" s="527"/>
      <c r="J202" s="325"/>
      <c r="N202" s="332"/>
      <c r="AK202" s="318"/>
      <c r="AL202" s="318"/>
      <c r="AM202" s="318"/>
    </row>
    <row r="203" spans="2:39" ht="14.1" customHeight="1" x14ac:dyDescent="0.2">
      <c r="B203" s="318"/>
      <c r="C203" s="803"/>
      <c r="D203" s="480" t="s">
        <v>152</v>
      </c>
      <c r="E203" s="647">
        <f>E201-E180-E198-E200</f>
        <v>589.80886060606031</v>
      </c>
      <c r="F203" s="527"/>
      <c r="G203" s="886"/>
      <c r="J203" s="325"/>
      <c r="N203" s="332"/>
      <c r="AK203" s="318"/>
      <c r="AL203" s="318"/>
      <c r="AM203" s="318"/>
    </row>
    <row r="204" spans="2:39" ht="14.1" customHeight="1" thickBot="1" x14ac:dyDescent="0.25">
      <c r="B204" s="318"/>
      <c r="C204" s="803"/>
      <c r="D204" s="482" t="s">
        <v>565</v>
      </c>
      <c r="E204" s="775">
        <f>E203/E180</f>
        <v>7.8211743640323114E-2</v>
      </c>
      <c r="F204" s="527"/>
      <c r="N204" s="332"/>
      <c r="AK204" s="318"/>
      <c r="AL204" s="318"/>
      <c r="AM204" s="318"/>
    </row>
    <row r="205" spans="2:39" ht="14.1" customHeight="1" thickBot="1" x14ac:dyDescent="0.25">
      <c r="B205" s="318"/>
      <c r="C205" s="318"/>
      <c r="D205" s="318"/>
      <c r="E205" s="776"/>
      <c r="I205" s="658"/>
      <c r="J205" s="782"/>
      <c r="K205" s="318"/>
      <c r="L205" s="318"/>
      <c r="M205" s="318"/>
      <c r="N205" s="332"/>
      <c r="AK205" s="318"/>
      <c r="AL205" s="318"/>
      <c r="AM205" s="318"/>
    </row>
    <row r="206" spans="2:39" ht="14.1" customHeight="1" thickBot="1" x14ac:dyDescent="0.25">
      <c r="B206" s="318"/>
      <c r="C206" s="318"/>
      <c r="D206" s="876" t="s">
        <v>496</v>
      </c>
      <c r="E206" s="874"/>
      <c r="F206" s="874"/>
      <c r="G206" s="874"/>
      <c r="H206" s="877"/>
      <c r="I206" s="658"/>
      <c r="J206" s="782"/>
      <c r="K206" s="318"/>
      <c r="L206" s="318"/>
      <c r="M206" s="318"/>
      <c r="N206" s="332"/>
      <c r="AK206" s="318"/>
      <c r="AL206" s="318"/>
      <c r="AM206" s="318"/>
    </row>
    <row r="207" spans="2:39" ht="14.1" customHeight="1" x14ac:dyDescent="0.2">
      <c r="B207" s="318"/>
      <c r="C207" s="318"/>
      <c r="D207" s="981" t="s">
        <v>617</v>
      </c>
      <c r="E207" s="982"/>
      <c r="F207" s="982"/>
      <c r="G207" s="982"/>
      <c r="H207" s="983"/>
      <c r="I207" s="658"/>
      <c r="J207" s="782"/>
      <c r="K207" s="318"/>
      <c r="L207" s="318"/>
      <c r="M207" s="318"/>
      <c r="AK207" s="318"/>
      <c r="AL207" s="318"/>
      <c r="AM207" s="318"/>
    </row>
    <row r="208" spans="2:39" ht="14.1" customHeight="1" x14ac:dyDescent="0.2">
      <c r="B208" s="318"/>
      <c r="C208" s="318"/>
      <c r="D208" s="984"/>
      <c r="E208" s="985"/>
      <c r="F208" s="985"/>
      <c r="G208" s="985"/>
      <c r="H208" s="986"/>
      <c r="I208" s="658"/>
      <c r="J208" s="782"/>
      <c r="K208" s="318"/>
      <c r="L208" s="318"/>
      <c r="M208" s="318"/>
      <c r="AB208" s="318"/>
      <c r="AC208" s="318"/>
      <c r="AD208" s="318"/>
      <c r="AE208" s="318"/>
      <c r="AF208" s="318"/>
      <c r="AG208" s="318"/>
      <c r="AH208" s="318"/>
      <c r="AI208" s="318"/>
      <c r="AJ208" s="318"/>
      <c r="AK208" s="318"/>
      <c r="AL208" s="318"/>
      <c r="AM208" s="318"/>
    </row>
    <row r="209" spans="1:47" ht="14.1" customHeight="1" x14ac:dyDescent="0.2">
      <c r="B209" s="318"/>
      <c r="C209" s="318"/>
      <c r="D209" s="984"/>
      <c r="E209" s="985"/>
      <c r="F209" s="985"/>
      <c r="G209" s="985"/>
      <c r="H209" s="986"/>
      <c r="I209" s="658"/>
      <c r="J209" s="782"/>
      <c r="K209" s="318"/>
      <c r="L209" s="318"/>
      <c r="M209" s="318"/>
      <c r="N209" s="439"/>
      <c r="AB209" s="318"/>
      <c r="AC209" s="318"/>
      <c r="AD209" s="318"/>
      <c r="AE209" s="318"/>
      <c r="AF209" s="318"/>
      <c r="AG209" s="318"/>
      <c r="AH209" s="318"/>
      <c r="AI209" s="318"/>
      <c r="AJ209" s="318"/>
      <c r="AK209" s="318"/>
      <c r="AL209" s="318"/>
      <c r="AM209" s="318"/>
    </row>
    <row r="210" spans="1:47" ht="14.1" customHeight="1" x14ac:dyDescent="0.2">
      <c r="B210" s="318"/>
      <c r="C210" s="318"/>
      <c r="D210" s="984"/>
      <c r="E210" s="985"/>
      <c r="F210" s="985"/>
      <c r="G210" s="985"/>
      <c r="H210" s="986"/>
      <c r="I210" s="658"/>
      <c r="J210" s="782"/>
      <c r="K210" s="318"/>
      <c r="L210" s="318"/>
      <c r="M210" s="318"/>
      <c r="AB210" s="318"/>
      <c r="AC210" s="318"/>
      <c r="AD210" s="318"/>
      <c r="AE210" s="318"/>
      <c r="AF210" s="318"/>
      <c r="AG210" s="318"/>
      <c r="AH210" s="318"/>
      <c r="AI210" s="318"/>
      <c r="AJ210" s="318"/>
      <c r="AK210" s="318"/>
      <c r="AL210" s="318"/>
      <c r="AM210" s="318"/>
    </row>
    <row r="211" spans="1:47" ht="14.1" customHeight="1" x14ac:dyDescent="0.2">
      <c r="B211" s="318"/>
      <c r="C211" s="318"/>
      <c r="D211" s="984"/>
      <c r="E211" s="985"/>
      <c r="F211" s="985"/>
      <c r="G211" s="985"/>
      <c r="H211" s="986"/>
      <c r="I211" s="658"/>
      <c r="J211" s="782"/>
      <c r="K211" s="318"/>
      <c r="L211" s="318"/>
      <c r="M211" s="318"/>
      <c r="AB211" s="318"/>
      <c r="AC211" s="318"/>
      <c r="AD211" s="318"/>
      <c r="AE211" s="318"/>
      <c r="AF211" s="318"/>
      <c r="AG211" s="318"/>
      <c r="AH211" s="318"/>
      <c r="AI211" s="318"/>
      <c r="AJ211" s="318"/>
      <c r="AK211" s="318"/>
      <c r="AL211" s="318"/>
      <c r="AM211" s="318"/>
    </row>
    <row r="212" spans="1:47" ht="14.1" customHeight="1" x14ac:dyDescent="0.2">
      <c r="B212" s="318"/>
      <c r="C212" s="318"/>
      <c r="D212" s="984"/>
      <c r="E212" s="985"/>
      <c r="F212" s="985"/>
      <c r="G212" s="985"/>
      <c r="H212" s="986"/>
      <c r="I212" s="658"/>
      <c r="J212" s="782"/>
      <c r="K212" s="318"/>
      <c r="L212" s="318"/>
      <c r="M212" s="318"/>
      <c r="AB212" s="318"/>
      <c r="AC212" s="318"/>
      <c r="AD212" s="318"/>
      <c r="AE212" s="318"/>
      <c r="AF212" s="318"/>
      <c r="AG212" s="318"/>
      <c r="AH212" s="318"/>
      <c r="AI212" s="318"/>
      <c r="AJ212" s="318"/>
      <c r="AK212" s="318"/>
      <c r="AL212" s="318"/>
      <c r="AM212" s="318"/>
    </row>
    <row r="213" spans="1:47" ht="14.1" customHeight="1" x14ac:dyDescent="0.2">
      <c r="B213" s="318"/>
      <c r="C213" s="318"/>
      <c r="D213" s="984"/>
      <c r="E213" s="985"/>
      <c r="F213" s="985"/>
      <c r="G213" s="985"/>
      <c r="H213" s="986"/>
      <c r="I213" s="658"/>
      <c r="J213" s="782"/>
      <c r="K213" s="318"/>
      <c r="L213" s="318"/>
      <c r="M213" s="318"/>
      <c r="AB213" s="318"/>
      <c r="AC213" s="318"/>
      <c r="AD213" s="318"/>
      <c r="AE213" s="318"/>
      <c r="AF213" s="318"/>
      <c r="AG213" s="318"/>
      <c r="AH213" s="318"/>
      <c r="AI213" s="318"/>
      <c r="AJ213" s="318"/>
      <c r="AK213" s="318"/>
      <c r="AL213" s="318"/>
      <c r="AM213" s="318"/>
    </row>
    <row r="214" spans="1:47" ht="14.1" customHeight="1" x14ac:dyDescent="0.2">
      <c r="B214" s="318"/>
      <c r="C214" s="318"/>
      <c r="D214" s="984"/>
      <c r="E214" s="985"/>
      <c r="F214" s="985"/>
      <c r="G214" s="985"/>
      <c r="H214" s="986"/>
      <c r="I214" s="658"/>
      <c r="J214" s="782"/>
      <c r="K214" s="318"/>
      <c r="L214" s="318"/>
      <c r="M214" s="318"/>
      <c r="AB214" s="318"/>
      <c r="AC214" s="318"/>
      <c r="AD214" s="318"/>
      <c r="AE214" s="318"/>
      <c r="AF214" s="318"/>
      <c r="AG214" s="318"/>
      <c r="AH214" s="318"/>
      <c r="AI214" s="318"/>
      <c r="AJ214" s="318"/>
      <c r="AK214" s="318"/>
      <c r="AL214" s="318"/>
      <c r="AM214" s="318"/>
    </row>
    <row r="215" spans="1:47" ht="14.1" customHeight="1" x14ac:dyDescent="0.2">
      <c r="B215" s="318"/>
      <c r="C215" s="318"/>
      <c r="D215" s="984"/>
      <c r="E215" s="985"/>
      <c r="F215" s="985"/>
      <c r="G215" s="985"/>
      <c r="H215" s="986"/>
      <c r="I215" s="658"/>
      <c r="J215" s="782"/>
      <c r="K215" s="318"/>
      <c r="L215" s="318"/>
      <c r="M215" s="318"/>
      <c r="AB215" s="318"/>
      <c r="AC215" s="318"/>
      <c r="AD215" s="318"/>
      <c r="AE215" s="318"/>
      <c r="AF215" s="318"/>
      <c r="AG215" s="318"/>
      <c r="AH215" s="318"/>
      <c r="AI215" s="318"/>
      <c r="AJ215" s="318"/>
      <c r="AK215" s="318"/>
      <c r="AL215" s="318"/>
      <c r="AM215" s="318"/>
    </row>
    <row r="216" spans="1:47" ht="14.1" customHeight="1" x14ac:dyDescent="0.2">
      <c r="B216" s="318"/>
      <c r="C216" s="318"/>
      <c r="D216" s="984"/>
      <c r="E216" s="985"/>
      <c r="F216" s="985"/>
      <c r="G216" s="985"/>
      <c r="H216" s="986"/>
      <c r="I216" s="658"/>
      <c r="J216" s="782"/>
      <c r="K216" s="318"/>
      <c r="L216" s="318"/>
      <c r="M216" s="318"/>
      <c r="AB216" s="318"/>
      <c r="AC216" s="318"/>
      <c r="AD216" s="318"/>
      <c r="AE216" s="318"/>
      <c r="AF216" s="318"/>
      <c r="AG216" s="318"/>
      <c r="AH216" s="318"/>
      <c r="AI216" s="318"/>
      <c r="AJ216" s="318"/>
      <c r="AK216" s="318"/>
      <c r="AL216" s="318"/>
      <c r="AM216" s="318"/>
    </row>
    <row r="217" spans="1:47" ht="14.1" customHeight="1" thickBot="1" x14ac:dyDescent="0.25">
      <c r="B217" s="318"/>
      <c r="C217" s="318"/>
      <c r="D217" s="987"/>
      <c r="E217" s="988"/>
      <c r="F217" s="988"/>
      <c r="G217" s="988"/>
      <c r="H217" s="989"/>
      <c r="I217" s="658"/>
      <c r="J217" s="782"/>
      <c r="K217" s="318"/>
      <c r="L217" s="318"/>
      <c r="M217" s="318"/>
      <c r="N217" s="875"/>
      <c r="O217" s="318"/>
      <c r="P217" s="318"/>
      <c r="AB217" s="318"/>
      <c r="AC217" s="318"/>
      <c r="AD217" s="318"/>
      <c r="AE217" s="318"/>
      <c r="AF217" s="318"/>
      <c r="AG217" s="318"/>
      <c r="AH217" s="318"/>
      <c r="AI217" s="318"/>
      <c r="AJ217" s="318"/>
      <c r="AK217" s="318"/>
      <c r="AL217" s="318"/>
      <c r="AM217" s="318"/>
    </row>
    <row r="218" spans="1:47" ht="14.1" customHeight="1" x14ac:dyDescent="0.2">
      <c r="B218" s="318"/>
      <c r="C218" s="318"/>
      <c r="D218" s="318"/>
      <c r="E218" s="776"/>
      <c r="F218" s="776"/>
      <c r="G218" s="658"/>
      <c r="H218" s="658"/>
      <c r="I218" s="658"/>
      <c r="J218" s="782"/>
      <c r="K218" s="318"/>
      <c r="L218" s="318"/>
      <c r="M218" s="318"/>
      <c r="N218" s="318"/>
      <c r="O218" s="318"/>
      <c r="P218" s="318"/>
      <c r="Q218" s="318"/>
      <c r="R218" s="318"/>
      <c r="S218" s="318"/>
      <c r="T218" s="318"/>
      <c r="U218" s="318"/>
      <c r="V218" s="318"/>
      <c r="W218" s="318"/>
      <c r="X218" s="318"/>
      <c r="Y218" s="318"/>
      <c r="Z218" s="318"/>
      <c r="AA218" s="318"/>
      <c r="AB218" s="318"/>
      <c r="AC218" s="318"/>
      <c r="AD218" s="318"/>
      <c r="AE218" s="318"/>
      <c r="AF218" s="318"/>
      <c r="AG218" s="318"/>
      <c r="AH218" s="318"/>
      <c r="AI218" s="318"/>
      <c r="AJ218" s="318"/>
      <c r="AK218" s="318"/>
      <c r="AL218" s="318"/>
      <c r="AM218" s="318"/>
    </row>
    <row r="219" spans="1:47" ht="14.1" customHeight="1" x14ac:dyDescent="0.2">
      <c r="B219" s="318"/>
      <c r="C219" s="318"/>
      <c r="D219" s="318"/>
      <c r="E219" s="776"/>
      <c r="F219" s="776"/>
      <c r="G219" s="658"/>
      <c r="H219" s="658"/>
      <c r="I219" s="658"/>
      <c r="J219" s="782"/>
      <c r="K219" s="318"/>
      <c r="L219" s="318"/>
      <c r="M219" s="318"/>
      <c r="N219" s="318"/>
      <c r="O219" s="318"/>
      <c r="P219" s="318"/>
      <c r="Q219" s="318"/>
      <c r="R219" s="318"/>
      <c r="S219" s="318"/>
      <c r="T219" s="318"/>
      <c r="U219" s="318"/>
      <c r="V219" s="318"/>
      <c r="W219" s="318"/>
      <c r="X219" s="318"/>
      <c r="Y219" s="318"/>
      <c r="Z219" s="318"/>
      <c r="AA219" s="318"/>
      <c r="AB219" s="318"/>
      <c r="AC219" s="318"/>
      <c r="AD219" s="318"/>
      <c r="AE219" s="318"/>
      <c r="AF219" s="318"/>
      <c r="AG219" s="318"/>
      <c r="AH219" s="318"/>
      <c r="AI219" s="318"/>
      <c r="AJ219" s="318"/>
      <c r="AK219" s="318"/>
      <c r="AL219" s="318"/>
      <c r="AM219" s="318"/>
    </row>
    <row r="220" spans="1:47" ht="14.1" customHeight="1" x14ac:dyDescent="0.2">
      <c r="A220" s="318"/>
      <c r="B220" s="318"/>
      <c r="C220" s="318"/>
      <c r="D220" s="318"/>
      <c r="E220" s="776"/>
      <c r="F220" s="776"/>
      <c r="G220" s="658"/>
      <c r="H220" s="658"/>
      <c r="I220" s="658"/>
      <c r="J220" s="782"/>
      <c r="K220" s="318"/>
      <c r="L220" s="318"/>
      <c r="M220" s="318"/>
      <c r="N220" s="318"/>
      <c r="O220" s="318"/>
      <c r="P220" s="318"/>
      <c r="Q220" s="318"/>
      <c r="R220" s="318"/>
      <c r="S220" s="318"/>
      <c r="T220" s="318"/>
      <c r="U220" s="318"/>
      <c r="V220" s="318"/>
      <c r="W220" s="318"/>
      <c r="X220" s="318"/>
      <c r="Y220" s="318"/>
      <c r="Z220" s="318"/>
      <c r="AA220" s="782"/>
      <c r="AB220" s="318"/>
      <c r="AC220" s="318"/>
      <c r="AD220" s="318"/>
      <c r="AE220" s="318"/>
      <c r="AF220" s="318"/>
      <c r="AG220" s="318"/>
      <c r="AH220" s="318"/>
      <c r="AI220" s="318"/>
      <c r="AJ220" s="318"/>
      <c r="AK220" s="318"/>
      <c r="AL220" s="318"/>
      <c r="AM220" s="318"/>
    </row>
    <row r="221" spans="1:47" s="318" customFormat="1" ht="14.1" hidden="1" customHeight="1" x14ac:dyDescent="0.2">
      <c r="C221" s="971" t="s">
        <v>566</v>
      </c>
      <c r="D221" s="734" t="s">
        <v>435</v>
      </c>
      <c r="E221" s="776"/>
      <c r="F221" s="776"/>
      <c r="G221" s="658"/>
      <c r="H221" s="658"/>
      <c r="I221" s="658"/>
      <c r="AA221" s="782"/>
    </row>
    <row r="222" spans="1:47" s="318" customFormat="1" ht="15.75" hidden="1" customHeight="1" x14ac:dyDescent="0.2">
      <c r="C222" s="971"/>
      <c r="D222" s="990" t="s">
        <v>450</v>
      </c>
      <c r="E222" s="980" t="str">
        <f>R12</f>
        <v xml:space="preserve">TOTA - Special </v>
      </c>
      <c r="F222" s="980" t="str">
        <f>S12</f>
        <v>TOTA - Retail</v>
      </c>
      <c r="G222" s="980" t="str">
        <f>T12</f>
        <v>FIT - Bottom Up</v>
      </c>
      <c r="H222" s="980" t="str">
        <f>U12</f>
        <v>FIT - Top Down</v>
      </c>
      <c r="I222" s="658"/>
      <c r="P222" s="782"/>
      <c r="AA222" s="782"/>
    </row>
    <row r="223" spans="1:47" s="318" customFormat="1" ht="18.75" hidden="1" customHeight="1" x14ac:dyDescent="0.2">
      <c r="C223" s="971"/>
      <c r="D223" s="990"/>
      <c r="E223" s="980"/>
      <c r="F223" s="980"/>
      <c r="G223" s="980"/>
      <c r="H223" s="980"/>
      <c r="I223" s="658"/>
      <c r="J223" s="509"/>
      <c r="N223" s="782"/>
      <c r="O223" s="782"/>
      <c r="P223" s="782"/>
      <c r="Q223" s="782"/>
      <c r="R223" s="782"/>
      <c r="S223" s="782"/>
      <c r="T223" s="782"/>
      <c r="U223" s="782"/>
      <c r="V223" s="782"/>
      <c r="W223" s="782"/>
      <c r="X223" s="782"/>
      <c r="Y223" s="782"/>
      <c r="Z223" s="782"/>
      <c r="AA223" s="782"/>
      <c r="AO223" s="782"/>
      <c r="AP223" s="782"/>
      <c r="AQ223" s="782"/>
      <c r="AR223" s="782"/>
      <c r="AS223" s="782"/>
      <c r="AT223" s="782"/>
      <c r="AU223" s="782"/>
    </row>
    <row r="224" spans="1:47" s="318" customFormat="1" ht="14.25" hidden="1" customHeight="1" x14ac:dyDescent="0.2">
      <c r="C224" s="971"/>
      <c r="D224" s="735" t="s">
        <v>382</v>
      </c>
      <c r="E224" s="649">
        <f>P46</f>
        <v>6221.6500000000005</v>
      </c>
      <c r="F224" s="649">
        <f t="shared" ref="F224:F230" si="22">E224</f>
        <v>6221.6500000000005</v>
      </c>
      <c r="G224" s="649">
        <f t="shared" ref="G224:H224" si="23">F224</f>
        <v>6221.6500000000005</v>
      </c>
      <c r="H224" s="649">
        <f t="shared" si="23"/>
        <v>6221.6500000000005</v>
      </c>
      <c r="I224" s="658"/>
      <c r="J224" s="509"/>
      <c r="L224" s="319"/>
      <c r="N224" s="782"/>
      <c r="O224" s="782"/>
      <c r="P224" s="782"/>
      <c r="Q224" s="782"/>
      <c r="R224" s="782"/>
      <c r="S224" s="782"/>
      <c r="T224" s="782"/>
      <c r="U224" s="782"/>
      <c r="V224" s="782"/>
      <c r="W224" s="782"/>
      <c r="X224" s="782"/>
      <c r="Y224" s="782"/>
      <c r="Z224" s="782"/>
      <c r="AA224" s="782"/>
      <c r="AO224" s="782"/>
      <c r="AP224" s="782"/>
      <c r="AQ224" s="782"/>
      <c r="AR224" s="782"/>
      <c r="AS224" s="782"/>
      <c r="AT224" s="782"/>
      <c r="AU224" s="782"/>
    </row>
    <row r="225" spans="3:47" s="318" customFormat="1" ht="14.25" hidden="1" customHeight="1" x14ac:dyDescent="0.2">
      <c r="C225" s="971"/>
      <c r="D225" s="735" t="s">
        <v>383</v>
      </c>
      <c r="E225" s="649">
        <f>M46</f>
        <v>0</v>
      </c>
      <c r="F225" s="649">
        <f t="shared" si="22"/>
        <v>0</v>
      </c>
      <c r="G225" s="649">
        <f t="shared" ref="G225:H225" si="24">F225</f>
        <v>0</v>
      </c>
      <c r="H225" s="649">
        <f t="shared" si="24"/>
        <v>0</v>
      </c>
      <c r="I225" s="658"/>
      <c r="J225" s="509"/>
      <c r="L225" s="319"/>
      <c r="N225" s="782"/>
      <c r="O225" s="782"/>
      <c r="P225" s="782"/>
      <c r="Q225" s="782"/>
      <c r="R225" s="782"/>
      <c r="S225" s="782"/>
      <c r="T225" s="782"/>
      <c r="U225" s="782"/>
      <c r="V225" s="782"/>
      <c r="W225" s="782"/>
      <c r="X225" s="782"/>
      <c r="Y225" s="782"/>
      <c r="Z225" s="782"/>
      <c r="AA225" s="782"/>
      <c r="AO225" s="782"/>
      <c r="AP225" s="782"/>
      <c r="AQ225" s="782"/>
      <c r="AR225" s="782"/>
      <c r="AS225" s="782"/>
      <c r="AT225" s="782"/>
      <c r="AU225" s="782"/>
    </row>
    <row r="226" spans="3:47" s="318" customFormat="1" ht="14.25" hidden="1" customHeight="1" x14ac:dyDescent="0.2">
      <c r="C226" s="971"/>
      <c r="D226" s="466" t="s">
        <v>436</v>
      </c>
      <c r="E226" s="649">
        <f>G66+G81+H88</f>
        <v>941.530303030303</v>
      </c>
      <c r="F226" s="649">
        <f t="shared" si="22"/>
        <v>941.530303030303</v>
      </c>
      <c r="G226" s="649">
        <f>E226</f>
        <v>941.530303030303</v>
      </c>
      <c r="H226" s="649">
        <f>E226</f>
        <v>941.530303030303</v>
      </c>
      <c r="I226" s="658"/>
      <c r="J226" s="509"/>
      <c r="L226" s="319"/>
      <c r="N226" s="782"/>
      <c r="O226" s="782"/>
      <c r="P226" s="782"/>
      <c r="Q226" s="782"/>
      <c r="R226" s="782"/>
      <c r="S226" s="782"/>
      <c r="T226" s="782"/>
      <c r="U226" s="782"/>
      <c r="V226" s="782"/>
      <c r="W226" s="782"/>
      <c r="X226" s="782"/>
      <c r="Y226" s="782"/>
      <c r="Z226" s="782"/>
      <c r="AA226" s="782"/>
      <c r="AO226" s="782"/>
      <c r="AP226" s="782"/>
      <c r="AQ226" s="782"/>
      <c r="AR226" s="782"/>
      <c r="AS226" s="782"/>
      <c r="AT226" s="782"/>
      <c r="AU226" s="782"/>
    </row>
    <row r="227" spans="3:47" s="318" customFormat="1" ht="14.25" hidden="1" customHeight="1" x14ac:dyDescent="0.2">
      <c r="C227" s="971"/>
      <c r="D227" s="463" t="s">
        <v>592</v>
      </c>
      <c r="E227" s="649">
        <f>G125+G100</f>
        <v>378</v>
      </c>
      <c r="F227" s="649">
        <f t="shared" ref="F227" si="25">E227</f>
        <v>378</v>
      </c>
      <c r="G227" s="649">
        <f>E227</f>
        <v>378</v>
      </c>
      <c r="H227" s="649">
        <f>E227</f>
        <v>378</v>
      </c>
      <c r="I227" s="658"/>
      <c r="J227" s="509"/>
      <c r="L227" s="319"/>
      <c r="N227" s="782"/>
      <c r="O227" s="782"/>
      <c r="P227" s="782"/>
      <c r="Q227" s="782"/>
      <c r="R227" s="782"/>
      <c r="S227" s="782"/>
      <c r="T227" s="782"/>
      <c r="U227" s="782"/>
      <c r="V227" s="782"/>
      <c r="W227" s="782"/>
      <c r="X227" s="782"/>
      <c r="Y227" s="782"/>
      <c r="Z227" s="782"/>
      <c r="AA227" s="782"/>
      <c r="AB227" s="782"/>
      <c r="AO227" s="782"/>
      <c r="AP227" s="782"/>
      <c r="AQ227" s="782"/>
      <c r="AR227" s="782"/>
      <c r="AS227" s="782"/>
      <c r="AT227" s="782"/>
      <c r="AU227" s="782"/>
    </row>
    <row r="228" spans="3:47" s="318" customFormat="1" ht="14.25" hidden="1" customHeight="1" x14ac:dyDescent="0.2">
      <c r="C228" s="971"/>
      <c r="D228" s="466" t="s">
        <v>420</v>
      </c>
      <c r="E228" s="649">
        <f>G146</f>
        <v>0</v>
      </c>
      <c r="F228" s="649">
        <f t="shared" si="22"/>
        <v>0</v>
      </c>
      <c r="G228" s="649">
        <f t="shared" ref="G228:H228" si="26">F228</f>
        <v>0</v>
      </c>
      <c r="H228" s="649">
        <f t="shared" si="26"/>
        <v>0</v>
      </c>
      <c r="I228" s="658"/>
      <c r="J228" s="509"/>
      <c r="K228" s="875"/>
      <c r="L228" s="319"/>
      <c r="N228" s="782"/>
      <c r="O228" s="782"/>
      <c r="P228" s="782"/>
      <c r="Q228" s="782"/>
      <c r="R228" s="782"/>
      <c r="S228" s="782"/>
      <c r="T228" s="782"/>
      <c r="U228" s="782"/>
      <c r="V228" s="782"/>
      <c r="W228" s="782"/>
      <c r="X228" s="782"/>
      <c r="Y228" s="782"/>
      <c r="Z228" s="782"/>
      <c r="AA228" s="782"/>
      <c r="AB228" s="782"/>
      <c r="AO228" s="782"/>
      <c r="AP228" s="782"/>
      <c r="AQ228" s="782"/>
      <c r="AR228" s="782"/>
      <c r="AS228" s="782"/>
      <c r="AT228" s="782"/>
      <c r="AU228" s="782"/>
    </row>
    <row r="229" spans="3:47" s="318" customFormat="1" ht="14.25" hidden="1" customHeight="1" x14ac:dyDescent="0.2">
      <c r="C229" s="971"/>
      <c r="D229" s="466" t="s">
        <v>438</v>
      </c>
      <c r="E229" s="649">
        <f>G160</f>
        <v>0</v>
      </c>
      <c r="F229" s="649">
        <f t="shared" si="22"/>
        <v>0</v>
      </c>
      <c r="G229" s="649">
        <f>E229</f>
        <v>0</v>
      </c>
      <c r="H229" s="649">
        <f>F229</f>
        <v>0</v>
      </c>
      <c r="I229" s="658"/>
      <c r="J229" s="509"/>
      <c r="K229" s="875"/>
      <c r="L229" s="319"/>
      <c r="N229" s="782"/>
      <c r="O229" s="782"/>
      <c r="P229" s="782"/>
      <c r="Q229" s="782"/>
      <c r="R229" s="782"/>
      <c r="S229" s="782"/>
      <c r="T229" s="782"/>
      <c r="U229" s="782"/>
      <c r="V229" s="782"/>
      <c r="W229" s="782"/>
      <c r="X229" s="782"/>
      <c r="Y229" s="782"/>
      <c r="Z229" s="782"/>
      <c r="AB229" s="782"/>
    </row>
    <row r="230" spans="3:47" s="318" customFormat="1" ht="14.25" hidden="1" customHeight="1" x14ac:dyDescent="0.2">
      <c r="C230" s="971"/>
      <c r="D230" s="466" t="s">
        <v>434</v>
      </c>
      <c r="E230" s="649">
        <f>G169</f>
        <v>0</v>
      </c>
      <c r="F230" s="649">
        <f t="shared" si="22"/>
        <v>0</v>
      </c>
      <c r="G230" s="649">
        <f>E230</f>
        <v>0</v>
      </c>
      <c r="H230" s="649">
        <f>F230</f>
        <v>0</v>
      </c>
      <c r="I230" s="658"/>
      <c r="L230" s="319"/>
      <c r="N230" s="782"/>
      <c r="O230" s="782"/>
      <c r="P230" s="782"/>
      <c r="Q230" s="782"/>
      <c r="R230" s="782"/>
      <c r="S230" s="782"/>
      <c r="T230" s="782"/>
      <c r="U230" s="782"/>
      <c r="V230" s="782"/>
      <c r="W230" s="782"/>
      <c r="X230" s="782"/>
      <c r="Y230" s="782"/>
      <c r="Z230" s="782"/>
      <c r="AA230" s="782"/>
      <c r="AB230" s="782"/>
    </row>
    <row r="231" spans="3:47" s="318" customFormat="1" ht="15" hidden="1" customHeight="1" x14ac:dyDescent="0.2">
      <c r="C231" s="971"/>
      <c r="D231" s="503" t="s">
        <v>448</v>
      </c>
      <c r="E231" s="650">
        <f>SUM(E224:E230)</f>
        <v>7541.1803030303035</v>
      </c>
      <c r="F231" s="650">
        <f>SUM(F224:F230)</f>
        <v>7541.1803030303035</v>
      </c>
      <c r="G231" s="650">
        <f>SUM(G224:G230)</f>
        <v>7541.1803030303035</v>
      </c>
      <c r="H231" s="650">
        <f>SUM(H224:H230)</f>
        <v>7541.1803030303035</v>
      </c>
      <c r="I231" s="658"/>
      <c r="J231" s="782"/>
      <c r="Q231" s="782"/>
      <c r="R231" s="782"/>
      <c r="S231" s="782"/>
      <c r="T231" s="782"/>
      <c r="U231" s="782"/>
      <c r="V231" s="782"/>
      <c r="W231" s="782"/>
      <c r="X231" s="782"/>
      <c r="Y231" s="782"/>
      <c r="Z231" s="782"/>
      <c r="AA231" s="782"/>
      <c r="AB231" s="782"/>
    </row>
    <row r="232" spans="3:47" s="318" customFormat="1" ht="8.25" hidden="1" customHeight="1" x14ac:dyDescent="0.2">
      <c r="C232" s="971"/>
      <c r="E232" s="776"/>
      <c r="F232" s="776"/>
      <c r="G232" s="658"/>
      <c r="H232" s="658"/>
      <c r="I232" s="658"/>
      <c r="P232" s="782"/>
      <c r="AA232" s="782"/>
      <c r="AB232" s="782"/>
    </row>
    <row r="233" spans="3:47" s="318" customFormat="1" ht="18.75" hidden="1" customHeight="1" x14ac:dyDescent="0.2">
      <c r="C233" s="971"/>
      <c r="D233" s="990" t="s">
        <v>451</v>
      </c>
      <c r="E233" s="980" t="str">
        <f>E222</f>
        <v xml:space="preserve">TOTA - Special </v>
      </c>
      <c r="F233" s="980" t="str">
        <f t="shared" ref="F233:H233" si="27">F222</f>
        <v>TOTA - Retail</v>
      </c>
      <c r="G233" s="980" t="str">
        <f t="shared" si="27"/>
        <v>FIT - Bottom Up</v>
      </c>
      <c r="H233" s="980" t="str">
        <f t="shared" si="27"/>
        <v>FIT - Top Down</v>
      </c>
      <c r="I233" s="658"/>
      <c r="P233" s="782"/>
      <c r="Q233" s="782"/>
      <c r="R233" s="782"/>
      <c r="S233" s="782"/>
      <c r="T233" s="782"/>
      <c r="U233" s="782"/>
      <c r="V233" s="782"/>
      <c r="W233" s="782"/>
      <c r="X233" s="782"/>
      <c r="Y233" s="782"/>
      <c r="Z233" s="782"/>
      <c r="AA233" s="782"/>
      <c r="AB233" s="782"/>
      <c r="AO233" s="782"/>
      <c r="AP233" s="782"/>
      <c r="AQ233" s="782"/>
      <c r="AR233" s="782"/>
      <c r="AS233" s="782"/>
      <c r="AT233" s="782"/>
      <c r="AU233" s="782"/>
    </row>
    <row r="234" spans="3:47" s="318" customFormat="1" ht="18.75" hidden="1" customHeight="1" x14ac:dyDescent="0.2">
      <c r="C234" s="971"/>
      <c r="D234" s="990"/>
      <c r="E234" s="980"/>
      <c r="F234" s="980"/>
      <c r="G234" s="980"/>
      <c r="H234" s="980"/>
      <c r="I234" s="658"/>
      <c r="J234" s="782"/>
      <c r="K234" s="782"/>
      <c r="L234" s="782"/>
      <c r="M234" s="782"/>
      <c r="N234" s="782"/>
      <c r="O234" s="782"/>
      <c r="P234" s="782"/>
      <c r="Q234" s="782"/>
      <c r="R234" s="782"/>
      <c r="S234" s="782"/>
      <c r="T234" s="782"/>
      <c r="U234" s="782"/>
      <c r="V234" s="782"/>
      <c r="W234" s="782"/>
      <c r="X234" s="782"/>
      <c r="Y234" s="782"/>
      <c r="Z234" s="782"/>
      <c r="AA234" s="782"/>
      <c r="AB234" s="782"/>
      <c r="AO234" s="782"/>
      <c r="AP234" s="782"/>
      <c r="AQ234" s="782"/>
      <c r="AR234" s="782"/>
      <c r="AS234" s="782"/>
      <c r="AT234" s="782"/>
      <c r="AU234" s="782"/>
    </row>
    <row r="235" spans="3:47" s="318" customFormat="1" ht="15" hidden="1" customHeight="1" x14ac:dyDescent="0.2">
      <c r="C235" s="971"/>
      <c r="D235" s="735" t="s">
        <v>382</v>
      </c>
      <c r="E235" s="654">
        <f>W45</f>
        <v>6877.067500000001</v>
      </c>
      <c r="F235" s="654">
        <f>X45</f>
        <v>6900.2725000000009</v>
      </c>
      <c r="G235" s="654">
        <f>Y45</f>
        <v>7277.7755000000016</v>
      </c>
      <c r="H235" s="654">
        <f>Z45</f>
        <v>7402.2085000000006</v>
      </c>
      <c r="I235" s="658"/>
      <c r="J235" s="782"/>
      <c r="K235" s="782"/>
      <c r="L235" s="782"/>
      <c r="M235" s="782"/>
      <c r="N235" s="782"/>
      <c r="O235" s="782"/>
      <c r="P235" s="782"/>
      <c r="Q235" s="782"/>
      <c r="R235" s="782"/>
      <c r="S235" s="782"/>
      <c r="T235" s="782"/>
      <c r="U235" s="782"/>
      <c r="V235" s="782"/>
      <c r="W235" s="782"/>
      <c r="X235" s="782"/>
      <c r="Y235" s="782"/>
      <c r="Z235" s="782"/>
      <c r="AA235" s="782"/>
      <c r="AB235" s="782"/>
      <c r="AM235" s="782"/>
      <c r="AN235" s="782"/>
      <c r="AO235" s="782"/>
      <c r="AP235" s="782"/>
      <c r="AQ235" s="782"/>
      <c r="AR235" s="782"/>
      <c r="AS235" s="782"/>
      <c r="AT235" s="782"/>
      <c r="AU235" s="782"/>
    </row>
    <row r="236" spans="3:47" s="318" customFormat="1" ht="15" hidden="1" customHeight="1" x14ac:dyDescent="0.2">
      <c r="C236" s="971"/>
      <c r="D236" s="735" t="s">
        <v>383</v>
      </c>
      <c r="E236" s="654">
        <f>R45</f>
        <v>0</v>
      </c>
      <c r="F236" s="654">
        <f>S45</f>
        <v>0</v>
      </c>
      <c r="G236" s="654">
        <f>T45</f>
        <v>0</v>
      </c>
      <c r="H236" s="654">
        <f>U45</f>
        <v>0</v>
      </c>
      <c r="I236" s="658"/>
      <c r="J236" s="782"/>
      <c r="K236" s="782"/>
      <c r="L236" s="782"/>
      <c r="M236" s="782"/>
      <c r="N236" s="782"/>
      <c r="O236" s="782"/>
      <c r="P236" s="782"/>
      <c r="Q236" s="782"/>
      <c r="R236" s="782"/>
      <c r="S236" s="782"/>
      <c r="T236" s="782"/>
      <c r="U236" s="782"/>
      <c r="V236" s="782"/>
      <c r="W236" s="782"/>
      <c r="X236" s="782"/>
      <c r="Y236" s="782"/>
      <c r="Z236" s="782"/>
      <c r="AA236" s="782"/>
      <c r="AB236" s="782"/>
      <c r="AM236" s="782"/>
      <c r="AN236" s="782"/>
      <c r="AO236" s="782"/>
      <c r="AP236" s="782"/>
      <c r="AQ236" s="782"/>
      <c r="AR236" s="782"/>
      <c r="AS236" s="782"/>
      <c r="AT236" s="782"/>
      <c r="AU236" s="782"/>
    </row>
    <row r="237" spans="3:47" s="318" customFormat="1" ht="15" hidden="1" customHeight="1" x14ac:dyDescent="0.2">
      <c r="C237" s="971"/>
      <c r="D237" s="466" t="s">
        <v>436</v>
      </c>
      <c r="E237" s="654">
        <f>H66+H81+I87</f>
        <v>1176.9128787878788</v>
      </c>
      <c r="F237" s="654">
        <f>E237</f>
        <v>1176.9128787878788</v>
      </c>
      <c r="G237" s="654">
        <f>E237</f>
        <v>1176.9128787878788</v>
      </c>
      <c r="H237" s="654">
        <f>F237</f>
        <v>1176.9128787878788</v>
      </c>
      <c r="I237" s="658"/>
      <c r="J237" s="509"/>
      <c r="L237" s="319"/>
      <c r="N237" s="782"/>
      <c r="O237" s="782"/>
      <c r="P237" s="782"/>
      <c r="Q237" s="782"/>
      <c r="R237" s="782"/>
      <c r="S237" s="782"/>
      <c r="T237" s="782"/>
      <c r="U237" s="782"/>
      <c r="V237" s="782"/>
      <c r="W237" s="782"/>
      <c r="X237" s="782"/>
      <c r="Y237" s="782"/>
      <c r="Z237" s="782"/>
      <c r="AA237" s="782"/>
      <c r="AB237" s="782"/>
      <c r="AM237" s="782"/>
      <c r="AN237" s="782"/>
      <c r="AO237" s="782"/>
      <c r="AP237" s="782"/>
      <c r="AQ237" s="782"/>
      <c r="AR237" s="782"/>
      <c r="AS237" s="782"/>
      <c r="AT237" s="782"/>
      <c r="AU237" s="782"/>
    </row>
    <row r="238" spans="3:47" s="318" customFormat="1" ht="14.25" hidden="1" customHeight="1" x14ac:dyDescent="0.2">
      <c r="C238" s="971"/>
      <c r="D238" s="463" t="s">
        <v>592</v>
      </c>
      <c r="E238" s="654">
        <f>(G125*(1+AD38)+H100)</f>
        <v>415.8</v>
      </c>
      <c r="F238" s="654">
        <f>(G125*(1+AD39)+H100)</f>
        <v>434.7</v>
      </c>
      <c r="G238" s="654">
        <f>(G125*(1+AD40)+H100)</f>
        <v>378</v>
      </c>
      <c r="H238" s="654">
        <f>G125*(1+AD41)+H100</f>
        <v>378</v>
      </c>
      <c r="I238" s="658"/>
      <c r="J238" s="782"/>
      <c r="K238" s="782"/>
      <c r="L238" s="782"/>
      <c r="M238" s="782"/>
      <c r="N238" s="782"/>
      <c r="O238" s="782"/>
      <c r="P238" s="782"/>
      <c r="Q238" s="782"/>
      <c r="R238" s="782"/>
      <c r="S238" s="782"/>
      <c r="T238" s="782"/>
      <c r="U238" s="782"/>
      <c r="V238" s="782"/>
      <c r="W238" s="782"/>
      <c r="X238" s="782"/>
      <c r="Y238" s="782"/>
      <c r="Z238" s="782"/>
      <c r="AA238" s="782"/>
      <c r="AB238" s="782"/>
      <c r="AM238" s="782"/>
      <c r="AN238" s="782"/>
      <c r="AO238" s="782"/>
      <c r="AP238" s="782"/>
      <c r="AQ238" s="782"/>
      <c r="AR238" s="782"/>
      <c r="AS238" s="782"/>
      <c r="AT238" s="782"/>
      <c r="AU238" s="782"/>
    </row>
    <row r="239" spans="3:47" s="318" customFormat="1" ht="15" hidden="1" customHeight="1" x14ac:dyDescent="0.2">
      <c r="C239" s="971"/>
      <c r="D239" s="466" t="s">
        <v>420</v>
      </c>
      <c r="E239" s="654">
        <f>G146*(1+AD48)</f>
        <v>0</v>
      </c>
      <c r="F239" s="654">
        <f>G146*(1+AD49)</f>
        <v>0</v>
      </c>
      <c r="G239" s="654">
        <f>G146*(1+AD50)</f>
        <v>0</v>
      </c>
      <c r="H239" s="654">
        <f>G146*(1+AD51)</f>
        <v>0</v>
      </c>
      <c r="I239" s="658"/>
      <c r="J239" s="782"/>
      <c r="K239" s="782"/>
      <c r="L239" s="782"/>
      <c r="M239" s="782"/>
      <c r="N239" s="782"/>
      <c r="O239" s="782"/>
      <c r="P239" s="782"/>
      <c r="Q239" s="782"/>
      <c r="R239" s="782"/>
      <c r="S239" s="782"/>
      <c r="T239" s="782"/>
      <c r="U239" s="782"/>
      <c r="V239" s="782"/>
      <c r="W239" s="782"/>
      <c r="X239" s="782"/>
      <c r="Y239" s="782"/>
      <c r="Z239" s="782"/>
      <c r="AA239" s="782"/>
      <c r="AB239" s="782"/>
      <c r="AM239" s="782"/>
      <c r="AN239" s="782"/>
      <c r="AO239" s="782"/>
      <c r="AP239" s="782"/>
      <c r="AQ239" s="782"/>
      <c r="AR239" s="782"/>
      <c r="AS239" s="782"/>
      <c r="AT239" s="782"/>
      <c r="AU239" s="782"/>
    </row>
    <row r="240" spans="3:47" s="318" customFormat="1" ht="15" hidden="1" customHeight="1" x14ac:dyDescent="0.2">
      <c r="C240" s="971"/>
      <c r="D240" s="466" t="s">
        <v>438</v>
      </c>
      <c r="E240" s="654">
        <v>0</v>
      </c>
      <c r="F240" s="654">
        <v>0</v>
      </c>
      <c r="G240" s="654">
        <v>0</v>
      </c>
      <c r="H240" s="654">
        <v>0</v>
      </c>
      <c r="I240" s="658"/>
      <c r="J240" s="782"/>
      <c r="K240" s="782"/>
      <c r="L240" s="782"/>
      <c r="M240" s="782"/>
      <c r="N240" s="782"/>
      <c r="O240" s="782"/>
      <c r="P240" s="782"/>
      <c r="Q240" s="782"/>
      <c r="R240" s="782"/>
      <c r="S240" s="782"/>
      <c r="T240" s="782"/>
      <c r="U240" s="782"/>
      <c r="V240" s="782"/>
      <c r="W240" s="782"/>
      <c r="X240" s="782"/>
      <c r="Y240" s="782"/>
      <c r="Z240" s="782"/>
      <c r="AA240" s="782"/>
      <c r="AB240" s="782"/>
      <c r="AM240" s="782"/>
      <c r="AN240" s="782"/>
      <c r="AO240" s="782"/>
      <c r="AP240" s="782"/>
      <c r="AQ240" s="782"/>
      <c r="AR240" s="782"/>
      <c r="AS240" s="782"/>
      <c r="AT240" s="782"/>
      <c r="AU240" s="782"/>
    </row>
    <row r="241" spans="1:47" s="318" customFormat="1" ht="15" hidden="1" customHeight="1" x14ac:dyDescent="0.2">
      <c r="C241" s="971"/>
      <c r="D241" s="466" t="s">
        <v>434</v>
      </c>
      <c r="E241" s="654">
        <f>H169</f>
        <v>0</v>
      </c>
      <c r="F241" s="654">
        <f>E241</f>
        <v>0</v>
      </c>
      <c r="G241" s="654">
        <f>E241</f>
        <v>0</v>
      </c>
      <c r="H241" s="654">
        <f>F241</f>
        <v>0</v>
      </c>
      <c r="I241" s="658"/>
      <c r="J241" s="782"/>
      <c r="K241" s="782"/>
      <c r="L241" s="782"/>
      <c r="M241" s="782"/>
      <c r="N241" s="782"/>
      <c r="O241" s="782"/>
      <c r="P241" s="782"/>
      <c r="Q241" s="782"/>
      <c r="R241" s="782"/>
      <c r="S241" s="782"/>
      <c r="T241" s="782"/>
      <c r="U241" s="782"/>
      <c r="V241" s="782"/>
      <c r="W241" s="782"/>
      <c r="X241" s="782"/>
      <c r="Y241" s="782"/>
      <c r="Z241" s="782"/>
      <c r="AB241" s="782"/>
      <c r="AO241" s="782"/>
      <c r="AP241" s="782"/>
      <c r="AQ241" s="782"/>
      <c r="AR241" s="782"/>
      <c r="AS241" s="782"/>
      <c r="AT241" s="782"/>
      <c r="AU241" s="782"/>
    </row>
    <row r="242" spans="1:47" s="318" customFormat="1" ht="15" hidden="1" customHeight="1" x14ac:dyDescent="0.2">
      <c r="C242" s="971"/>
      <c r="D242" s="736" t="s">
        <v>463</v>
      </c>
      <c r="E242" s="656">
        <f>SUM(E235:E241)</f>
        <v>8469.7803787878802</v>
      </c>
      <c r="F242" s="656">
        <f>SUM(F235:F241)</f>
        <v>8511.8853787878797</v>
      </c>
      <c r="G242" s="656">
        <f>SUM(G235:G241)</f>
        <v>8832.6883787878796</v>
      </c>
      <c r="H242" s="656">
        <f>SUM(H235:H241)</f>
        <v>8957.1213787878787</v>
      </c>
      <c r="I242" s="658"/>
      <c r="J242" s="782"/>
      <c r="K242" s="782"/>
      <c r="L242" s="782"/>
      <c r="M242" s="782"/>
      <c r="N242" s="782"/>
      <c r="O242" s="782"/>
      <c r="P242" s="782"/>
      <c r="Q242" s="782"/>
      <c r="R242" s="782"/>
      <c r="S242" s="782"/>
      <c r="T242" s="782"/>
      <c r="U242" s="782"/>
      <c r="V242" s="782"/>
      <c r="W242" s="782"/>
      <c r="X242" s="782"/>
      <c r="Y242" s="782"/>
      <c r="Z242" s="782"/>
      <c r="AB242" s="782"/>
      <c r="AO242" s="782"/>
      <c r="AP242" s="782"/>
      <c r="AQ242" s="782"/>
      <c r="AR242" s="782"/>
      <c r="AS242" s="782"/>
      <c r="AT242" s="782"/>
      <c r="AU242" s="782"/>
    </row>
    <row r="243" spans="1:47" s="318" customFormat="1" ht="15" hidden="1" customHeight="1" x14ac:dyDescent="0.2">
      <c r="C243" s="971"/>
      <c r="D243" s="737" t="s">
        <v>455</v>
      </c>
      <c r="E243" s="657">
        <f>E242-E231</f>
        <v>928.60007575757663</v>
      </c>
      <c r="F243" s="657">
        <f>F242-F231</f>
        <v>970.7050757575762</v>
      </c>
      <c r="G243" s="657">
        <f>G242-G231</f>
        <v>1291.5080757575761</v>
      </c>
      <c r="H243" s="657">
        <f>H242-H231</f>
        <v>1415.9410757575752</v>
      </c>
      <c r="I243" s="658"/>
      <c r="J243" s="782"/>
      <c r="Q243" s="782"/>
      <c r="R243" s="782"/>
      <c r="S243" s="782"/>
      <c r="T243" s="782"/>
      <c r="U243" s="782"/>
      <c r="V243" s="782"/>
      <c r="W243" s="782"/>
      <c r="X243" s="782"/>
      <c r="Y243" s="782"/>
      <c r="Z243" s="782"/>
      <c r="AB243" s="782"/>
      <c r="AO243" s="782"/>
      <c r="AP243" s="782"/>
      <c r="AQ243" s="782"/>
      <c r="AR243" s="782"/>
      <c r="AS243" s="782"/>
      <c r="AT243" s="782"/>
      <c r="AU243" s="782"/>
    </row>
    <row r="244" spans="1:47" ht="14.1" customHeight="1" x14ac:dyDescent="0.2">
      <c r="A244" s="318"/>
      <c r="B244" s="318"/>
      <c r="C244" s="318"/>
      <c r="D244" s="318"/>
      <c r="E244" s="776"/>
      <c r="F244" s="776"/>
      <c r="G244" s="658"/>
      <c r="H244" s="658"/>
      <c r="I244" s="658"/>
      <c r="J244" s="782"/>
      <c r="K244" s="318"/>
      <c r="L244" s="318"/>
      <c r="M244" s="318"/>
      <c r="N244" s="318"/>
      <c r="O244" s="318"/>
      <c r="P244" s="318"/>
      <c r="Q244" s="318"/>
      <c r="R244" s="318"/>
      <c r="S244" s="318"/>
      <c r="T244" s="318"/>
      <c r="U244" s="318"/>
      <c r="V244" s="318"/>
      <c r="W244" s="318"/>
      <c r="X244" s="318"/>
      <c r="Y244" s="318"/>
      <c r="Z244" s="318"/>
      <c r="AA244" s="318"/>
      <c r="AB244" s="318"/>
      <c r="AC244" s="318"/>
      <c r="AD244" s="318"/>
      <c r="AE244" s="318"/>
      <c r="AF244" s="318"/>
      <c r="AG244" s="318"/>
      <c r="AH244" s="318"/>
      <c r="AI244" s="318"/>
      <c r="AJ244" s="318"/>
      <c r="AK244" s="318"/>
      <c r="AL244" s="318"/>
      <c r="AM244" s="318"/>
    </row>
    <row r="245" spans="1:47" ht="14.1" customHeight="1" x14ac:dyDescent="0.2">
      <c r="A245" s="318"/>
      <c r="B245" s="318"/>
      <c r="C245" s="318"/>
      <c r="D245" s="318"/>
      <c r="E245" s="776"/>
      <c r="F245" s="776"/>
      <c r="G245" s="658"/>
      <c r="H245" s="658"/>
      <c r="I245" s="658"/>
      <c r="J245" s="782"/>
      <c r="K245" s="318"/>
      <c r="L245" s="318"/>
      <c r="M245" s="318"/>
      <c r="N245" s="318"/>
      <c r="O245" s="318"/>
      <c r="P245" s="318"/>
      <c r="Q245" s="318"/>
      <c r="R245" s="318"/>
      <c r="S245" s="318"/>
      <c r="T245" s="318"/>
      <c r="U245" s="318"/>
      <c r="V245" s="318"/>
      <c r="W245" s="318"/>
      <c r="X245" s="318"/>
      <c r="Y245" s="318"/>
      <c r="Z245" s="318"/>
      <c r="AA245" s="318"/>
      <c r="AB245" s="782"/>
      <c r="AC245" s="318"/>
      <c r="AD245" s="318"/>
      <c r="AE245" s="318"/>
      <c r="AF245" s="318"/>
      <c r="AG245" s="318"/>
      <c r="AH245" s="318"/>
      <c r="AI245" s="318"/>
      <c r="AJ245" s="318"/>
      <c r="AK245" s="318"/>
      <c r="AL245" s="318"/>
      <c r="AM245" s="782"/>
      <c r="AN245" s="332"/>
    </row>
    <row r="246" spans="1:47" ht="14.1" customHeight="1" x14ac:dyDescent="0.2">
      <c r="A246" s="318"/>
      <c r="B246" s="318"/>
      <c r="C246" s="318"/>
      <c r="D246" s="318"/>
      <c r="E246" s="776"/>
      <c r="F246" s="776"/>
      <c r="G246" s="658"/>
      <c r="H246" s="658"/>
      <c r="I246" s="658"/>
      <c r="J246" s="782"/>
      <c r="K246" s="318"/>
      <c r="L246" s="318"/>
      <c r="M246" s="318"/>
      <c r="N246" s="318"/>
      <c r="O246" s="318"/>
      <c r="P246" s="318"/>
      <c r="Q246" s="318"/>
      <c r="R246" s="318"/>
      <c r="S246" s="318"/>
      <c r="T246" s="318"/>
      <c r="U246" s="318"/>
      <c r="V246" s="318"/>
      <c r="W246" s="318"/>
      <c r="X246" s="318"/>
      <c r="Y246" s="318"/>
      <c r="Z246" s="318"/>
      <c r="AA246" s="318"/>
      <c r="AB246" s="782"/>
      <c r="AC246" s="318"/>
      <c r="AD246" s="318"/>
      <c r="AE246" s="318"/>
      <c r="AF246" s="318"/>
      <c r="AG246" s="318"/>
      <c r="AH246" s="318"/>
      <c r="AI246" s="318"/>
      <c r="AJ246" s="318"/>
      <c r="AK246" s="318"/>
      <c r="AL246" s="318"/>
      <c r="AM246" s="782"/>
      <c r="AN246" s="332"/>
    </row>
    <row r="247" spans="1:47" ht="14.1" customHeight="1" x14ac:dyDescent="0.2">
      <c r="A247" s="318"/>
      <c r="B247" s="318"/>
      <c r="C247" s="318"/>
      <c r="D247" s="318"/>
      <c r="E247" s="776"/>
      <c r="F247" s="776"/>
      <c r="G247" s="658"/>
      <c r="H247" s="658"/>
      <c r="I247" s="658"/>
      <c r="J247" s="782"/>
      <c r="K247" s="318"/>
      <c r="L247" s="318"/>
      <c r="M247" s="318"/>
      <c r="N247" s="318"/>
      <c r="O247" s="318"/>
      <c r="P247" s="318"/>
      <c r="Q247" s="318"/>
      <c r="R247" s="318"/>
      <c r="S247" s="318"/>
      <c r="T247" s="318"/>
      <c r="U247" s="318"/>
      <c r="V247" s="318"/>
      <c r="W247" s="318"/>
      <c r="X247" s="318"/>
      <c r="Y247" s="318"/>
      <c r="Z247" s="318"/>
      <c r="AA247" s="318"/>
      <c r="AB247" s="782"/>
      <c r="AC247" s="782"/>
      <c r="AD247" s="782"/>
      <c r="AE247" s="782"/>
      <c r="AF247" s="782"/>
      <c r="AG247" s="782"/>
      <c r="AH247" s="782"/>
      <c r="AI247" s="782"/>
      <c r="AJ247" s="782"/>
      <c r="AK247" s="782"/>
      <c r="AL247" s="782"/>
      <c r="AM247" s="782"/>
      <c r="AN247" s="332"/>
    </row>
    <row r="248" spans="1:47" ht="14.1" customHeight="1" x14ac:dyDescent="0.2">
      <c r="A248" s="318"/>
      <c r="B248" s="318"/>
      <c r="C248" s="318"/>
      <c r="D248" s="318"/>
      <c r="E248" s="776"/>
      <c r="F248" s="776"/>
      <c r="G248" s="658"/>
      <c r="H248" s="658"/>
      <c r="I248" s="658"/>
      <c r="J248" s="782"/>
      <c r="K248" s="318"/>
      <c r="L248" s="318"/>
      <c r="M248" s="318"/>
      <c r="N248" s="318"/>
      <c r="O248" s="318"/>
      <c r="P248" s="318"/>
      <c r="Q248" s="318"/>
      <c r="R248" s="318"/>
      <c r="S248" s="318"/>
      <c r="T248" s="318"/>
      <c r="U248" s="318"/>
      <c r="V248" s="318"/>
      <c r="W248" s="318"/>
      <c r="X248" s="318"/>
      <c r="Y248" s="318"/>
      <c r="Z248" s="318"/>
      <c r="AA248" s="318"/>
      <c r="AB248" s="782"/>
      <c r="AC248" s="782"/>
      <c r="AD248" s="782"/>
      <c r="AE248" s="782"/>
      <c r="AF248" s="782"/>
      <c r="AG248" s="782"/>
      <c r="AH248" s="782"/>
      <c r="AI248" s="782"/>
      <c r="AJ248" s="782"/>
      <c r="AK248" s="782"/>
      <c r="AL248" s="782"/>
      <c r="AM248" s="782"/>
      <c r="AN248" s="332"/>
    </row>
    <row r="249" spans="1:47" ht="14.1" customHeight="1" x14ac:dyDescent="0.2">
      <c r="A249" s="318"/>
      <c r="B249" s="318"/>
      <c r="C249" s="318"/>
      <c r="D249" s="318"/>
      <c r="E249" s="776"/>
      <c r="F249" s="776"/>
      <c r="G249" s="658"/>
      <c r="H249" s="658"/>
      <c r="I249" s="658"/>
      <c r="J249" s="782"/>
      <c r="K249" s="318"/>
      <c r="L249" s="318"/>
      <c r="M249" s="318"/>
      <c r="N249" s="318"/>
      <c r="O249" s="318"/>
      <c r="P249" s="318"/>
      <c r="Q249" s="318"/>
      <c r="R249" s="318"/>
      <c r="S249" s="318"/>
      <c r="T249" s="318"/>
      <c r="U249" s="318"/>
      <c r="V249" s="318"/>
      <c r="W249" s="318"/>
      <c r="X249" s="318"/>
      <c r="Y249" s="318"/>
      <c r="Z249" s="318"/>
      <c r="AA249" s="318"/>
      <c r="AB249" s="782"/>
      <c r="AC249" s="782"/>
      <c r="AD249" s="782"/>
      <c r="AE249" s="782"/>
      <c r="AF249" s="782"/>
      <c r="AG249" s="782"/>
      <c r="AH249" s="782"/>
      <c r="AI249" s="782"/>
      <c r="AJ249" s="782"/>
      <c r="AK249" s="782"/>
      <c r="AL249" s="782"/>
      <c r="AM249" s="782"/>
      <c r="AN249" s="332"/>
    </row>
    <row r="250" spans="1:47" ht="14.1" customHeight="1" x14ac:dyDescent="0.2">
      <c r="A250" s="318"/>
      <c r="B250" s="318"/>
      <c r="C250" s="318"/>
      <c r="D250" s="318"/>
      <c r="E250" s="776"/>
      <c r="F250" s="776"/>
      <c r="G250" s="658"/>
      <c r="H250" s="658"/>
      <c r="I250" s="658"/>
      <c r="J250" s="782"/>
      <c r="K250" s="318"/>
      <c r="L250" s="318"/>
      <c r="M250" s="318"/>
      <c r="N250" s="318"/>
      <c r="O250" s="318"/>
      <c r="P250" s="318"/>
      <c r="Q250" s="318"/>
      <c r="R250" s="318"/>
      <c r="S250" s="318"/>
      <c r="T250" s="318"/>
      <c r="U250" s="318"/>
      <c r="V250" s="318"/>
      <c r="W250" s="318"/>
      <c r="X250" s="318"/>
      <c r="Y250" s="318"/>
      <c r="Z250" s="318"/>
      <c r="AA250" s="318"/>
      <c r="AB250" s="782"/>
      <c r="AC250" s="318"/>
      <c r="AD250" s="318"/>
      <c r="AE250" s="318"/>
      <c r="AF250" s="318"/>
      <c r="AG250" s="318"/>
      <c r="AH250" s="318"/>
      <c r="AI250" s="318"/>
      <c r="AJ250" s="318"/>
      <c r="AK250" s="318"/>
      <c r="AL250" s="318"/>
      <c r="AM250" s="782"/>
      <c r="AN250" s="332"/>
    </row>
    <row r="251" spans="1:47" ht="14.1" customHeight="1" x14ac:dyDescent="0.2">
      <c r="A251" s="318"/>
      <c r="B251" s="318"/>
      <c r="C251" s="318"/>
      <c r="D251" s="318"/>
      <c r="E251" s="776"/>
      <c r="F251" s="776"/>
      <c r="G251" s="658"/>
      <c r="H251" s="658"/>
      <c r="I251" s="658"/>
      <c r="J251" s="782"/>
      <c r="K251" s="318"/>
      <c r="L251" s="318"/>
      <c r="M251" s="318"/>
      <c r="N251" s="318"/>
      <c r="O251" s="318"/>
      <c r="P251" s="318"/>
      <c r="Q251" s="318"/>
      <c r="R251" s="318"/>
      <c r="S251" s="318"/>
      <c r="T251" s="318"/>
      <c r="U251" s="318"/>
      <c r="V251" s="318"/>
      <c r="W251" s="318"/>
      <c r="X251" s="318"/>
      <c r="Y251" s="318"/>
      <c r="Z251" s="318"/>
      <c r="AA251" s="318"/>
      <c r="AB251" s="782"/>
      <c r="AC251" s="782"/>
      <c r="AD251" s="782"/>
      <c r="AE251" s="782"/>
      <c r="AF251" s="782"/>
      <c r="AG251" s="782"/>
      <c r="AH251" s="782"/>
      <c r="AI251" s="782"/>
      <c r="AJ251" s="782"/>
      <c r="AK251" s="782"/>
      <c r="AL251" s="782"/>
      <c r="AM251" s="782"/>
      <c r="AN251" s="332"/>
    </row>
    <row r="252" spans="1:47" ht="14.1" customHeight="1" x14ac:dyDescent="0.2">
      <c r="A252" s="318"/>
      <c r="B252" s="318"/>
      <c r="C252" s="318"/>
      <c r="D252" s="318"/>
      <c r="E252" s="776"/>
      <c r="F252" s="776"/>
      <c r="G252" s="658"/>
      <c r="H252" s="658"/>
      <c r="I252" s="658"/>
      <c r="J252" s="782"/>
      <c r="K252" s="318"/>
      <c r="L252" s="318"/>
      <c r="M252" s="318"/>
      <c r="N252" s="318"/>
      <c r="O252" s="318"/>
      <c r="P252" s="318"/>
      <c r="Q252" s="318"/>
      <c r="R252" s="318"/>
      <c r="S252" s="318"/>
      <c r="T252" s="318"/>
      <c r="U252" s="318"/>
      <c r="V252" s="318"/>
      <c r="W252" s="318"/>
      <c r="X252" s="318"/>
      <c r="Y252" s="318"/>
      <c r="Z252" s="318"/>
      <c r="AB252" s="782"/>
      <c r="AC252" s="782"/>
      <c r="AD252" s="782"/>
      <c r="AE252" s="782"/>
      <c r="AF252" s="782"/>
      <c r="AG252" s="782"/>
      <c r="AH252" s="782"/>
      <c r="AI252" s="782"/>
      <c r="AJ252" s="782"/>
      <c r="AK252" s="782"/>
      <c r="AL252" s="782"/>
      <c r="AM252" s="782"/>
      <c r="AN252" s="332"/>
    </row>
    <row r="253" spans="1:47" ht="14.1" customHeight="1" x14ac:dyDescent="0.2">
      <c r="B253" s="318"/>
      <c r="C253" s="318"/>
      <c r="D253" s="318"/>
      <c r="E253" s="776"/>
      <c r="F253" s="776"/>
      <c r="G253" s="658"/>
      <c r="H253" s="658"/>
      <c r="I253" s="658"/>
      <c r="J253" s="782"/>
      <c r="K253" s="318"/>
      <c r="L253" s="318"/>
      <c r="M253" s="318"/>
      <c r="N253" s="318"/>
      <c r="O253" s="318"/>
      <c r="P253" s="318"/>
      <c r="Q253" s="318"/>
      <c r="R253" s="318"/>
      <c r="S253" s="318"/>
      <c r="T253" s="318"/>
      <c r="U253" s="318"/>
      <c r="V253" s="318"/>
      <c r="W253" s="318"/>
      <c r="X253" s="318"/>
      <c r="Y253" s="318"/>
      <c r="Z253" s="318"/>
      <c r="AB253" s="782"/>
      <c r="AC253" s="782"/>
      <c r="AD253" s="782"/>
      <c r="AE253" s="782"/>
      <c r="AF253" s="782"/>
      <c r="AG253" s="782"/>
      <c r="AH253" s="782"/>
      <c r="AI253" s="782"/>
      <c r="AJ253" s="782"/>
      <c r="AK253" s="782"/>
      <c r="AL253" s="782"/>
      <c r="AM253" s="782"/>
      <c r="AN253" s="332"/>
    </row>
    <row r="254" spans="1:47" ht="14.1" customHeight="1" x14ac:dyDescent="0.2">
      <c r="B254" s="318"/>
      <c r="C254" s="318"/>
      <c r="D254" s="318"/>
      <c r="E254" s="776"/>
      <c r="F254" s="776"/>
      <c r="G254" s="658"/>
      <c r="H254" s="658"/>
      <c r="Q254" s="318"/>
      <c r="R254" s="318"/>
      <c r="S254" s="318"/>
      <c r="T254" s="318"/>
      <c r="U254" s="318"/>
      <c r="V254" s="318"/>
      <c r="W254" s="318"/>
      <c r="X254" s="318"/>
      <c r="Y254" s="318"/>
      <c r="Z254" s="318"/>
      <c r="AB254" s="782"/>
      <c r="AC254" s="782"/>
      <c r="AD254" s="782"/>
      <c r="AE254" s="782"/>
      <c r="AF254" s="782"/>
      <c r="AG254" s="782"/>
      <c r="AH254" s="782"/>
      <c r="AI254" s="782"/>
      <c r="AJ254" s="782"/>
      <c r="AK254" s="782"/>
      <c r="AL254" s="782"/>
      <c r="AM254" s="782"/>
      <c r="AN254" s="332"/>
    </row>
    <row r="255" spans="1:47" ht="14.1" customHeight="1" x14ac:dyDescent="0.2">
      <c r="AM255" s="332"/>
      <c r="AN255" s="332"/>
    </row>
  </sheetData>
  <sheetProtection algorithmName="SHA-512" hashValue="T/y3j7hV3ieMiJ5dzu2SLPTok/vgKYDdlozzlncFLxaY7dcB4Qlqji/JkaB9aTaT3icCETaANGtkE/sA7zoViA==" saltValue="Y1mb7q14EdvWjMWDmb41FA==" spinCount="100000" sheet="1" formatCells="0" formatColumns="0" formatRows="0" insertColumns="0" insertRows="0" insertHyperlinks="0" deleteColumns="0" deleteRows="0"/>
  <dataConsolidate/>
  <mergeCells count="54">
    <mergeCell ref="C162:C169"/>
    <mergeCell ref="F45:J45"/>
    <mergeCell ref="D148:G148"/>
    <mergeCell ref="D49:G49"/>
    <mergeCell ref="D162:G162"/>
    <mergeCell ref="J73:K73"/>
    <mergeCell ref="J74:K74"/>
    <mergeCell ref="E90:G90"/>
    <mergeCell ref="H97:H99"/>
    <mergeCell ref="B2:AL2"/>
    <mergeCell ref="I12:I13"/>
    <mergeCell ref="B11:P11"/>
    <mergeCell ref="B8:C8"/>
    <mergeCell ref="E8:F8"/>
    <mergeCell ref="B12:B13"/>
    <mergeCell ref="C12:C13"/>
    <mergeCell ref="AC11:AM12"/>
    <mergeCell ref="I7:J7"/>
    <mergeCell ref="B5:K5"/>
    <mergeCell ref="B6:C6"/>
    <mergeCell ref="E6:F6"/>
    <mergeCell ref="B7:C7"/>
    <mergeCell ref="E7:F7"/>
    <mergeCell ref="I6:J6"/>
    <mergeCell ref="D222:D223"/>
    <mergeCell ref="W11:Z11"/>
    <mergeCell ref="N12:P12"/>
    <mergeCell ref="H12:H13"/>
    <mergeCell ref="J12:J13"/>
    <mergeCell ref="K12:M12"/>
    <mergeCell ref="R11:U11"/>
    <mergeCell ref="J75:K75"/>
    <mergeCell ref="J70:M71"/>
    <mergeCell ref="H166:H168"/>
    <mergeCell ref="E127:G127"/>
    <mergeCell ref="H122:H124"/>
    <mergeCell ref="H143:H145"/>
    <mergeCell ref="H78:H80"/>
    <mergeCell ref="C221:C243"/>
    <mergeCell ref="D12:D13"/>
    <mergeCell ref="E12:E13"/>
    <mergeCell ref="F12:G13"/>
    <mergeCell ref="H233:H234"/>
    <mergeCell ref="G233:G234"/>
    <mergeCell ref="D207:H217"/>
    <mergeCell ref="H222:H223"/>
    <mergeCell ref="E222:E223"/>
    <mergeCell ref="F222:F223"/>
    <mergeCell ref="G222:G223"/>
    <mergeCell ref="D233:D234"/>
    <mergeCell ref="E233:E234"/>
    <mergeCell ref="F233:F234"/>
    <mergeCell ref="E102:G102"/>
    <mergeCell ref="H63:H65"/>
  </mergeCells>
  <dataValidations count="5">
    <dataValidation type="list" allowBlank="1" showInputMessage="1" showErrorMessage="1" sqref="F198">
      <formula1>$AV$23:$AV$24</formula1>
    </dataValidation>
    <dataValidation type="list" allowBlank="1" showInputMessage="1" showErrorMessage="1" sqref="M5:M7">
      <formula1>$M$5:$M$7</formula1>
    </dataValidation>
    <dataValidation type="list" allowBlank="1" showInputMessage="1" showErrorMessage="1" sqref="I6:J6">
      <formula1>$BA$2:$BA$6</formula1>
    </dataValidation>
    <dataValidation type="list" allowBlank="1" showInputMessage="1" showErrorMessage="1" sqref="D7">
      <formula1>$AW$2:$AW$5</formula1>
    </dataValidation>
    <dataValidation type="list" allowBlank="1" showInputMessage="1" showErrorMessage="1" sqref="G84:G87">
      <formula1>$AY$2:$AY$3</formula1>
    </dataValidation>
  </dataValidations>
  <pageMargins left="0.7" right="0.7" top="0.75" bottom="0.75" header="0.3" footer="0.3"/>
  <pageSetup paperSize="9" orientation="portrait" r:id="rId1"/>
  <ignoredErrors>
    <ignoredError sqref="V38:V40 C197:G197 C193:E193 C205:G205 C204 F204:G204 C190:G190 C181:G182 C66:G69 C62:E62 C61:G61 C147:G149 C170:G172 C169 C88:G89 I87 C134:C143 C198:D200 V27:V31 C144:F145 C51:D52 C103:F103 C102 C146 G121:G125 G129:G143 F178:G178 C173:C175 C178 F183:G185 C183:C185 I88:J88 E146:H146 C160:G162 G62:G65 C63:D65 F189:G189 C189 F200 C202:F202 D75:D76 C83:C85 F173:G175 D70:G72 D81:G82 I81:I82 K80:L80 K45:P45 M46 P46 F52 E45 C86:D87 F83:G83 C203:D203 F203 G192 C194:F196 E80 L79 I75 G75:G80 C152:E159 G150:G159 H125 H66 C150:D151 L87:L88 C191:F191 C180:F180 G104:G111 G73:H73 H81:H88 C54:D55 C57:D57 C56 C60:D60 C58:C59 C163:E163 G163 C53 G51:G60 V14 C201:E201" unlockedFormula="1"/>
    <ignoredError sqref="G228:H228 G22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49"/>
  <sheetViews>
    <sheetView topLeftCell="A26" zoomScale="80" zoomScaleNormal="80" workbookViewId="0">
      <selection activeCell="I23" sqref="I23:I25"/>
    </sheetView>
  </sheetViews>
  <sheetFormatPr defaultColWidth="11.42578125" defaultRowHeight="12.75" x14ac:dyDescent="0.2"/>
  <cols>
    <col min="1" max="1" width="2.85546875" style="940" customWidth="1"/>
    <col min="2" max="2" width="1.140625" style="940" customWidth="1"/>
    <col min="3" max="3" width="2.85546875" style="940" customWidth="1"/>
    <col min="4" max="4" width="11.42578125" style="940"/>
    <col min="5" max="5" width="15.7109375" style="940" bestFit="1" customWidth="1"/>
    <col min="6" max="6" width="15.28515625" style="940" customWidth="1"/>
    <col min="7" max="7" width="11.42578125" style="940"/>
    <col min="8" max="8" width="12" style="940" customWidth="1"/>
    <col min="9" max="16" width="11.42578125" style="940"/>
    <col min="17" max="17" width="3.140625" style="940" customWidth="1"/>
    <col min="18" max="18" width="1" style="940" customWidth="1"/>
    <col min="19" max="16384" width="11.42578125" style="940"/>
  </cols>
  <sheetData>
    <row r="3" spans="1:26" ht="13.5" thickBot="1" x14ac:dyDescent="0.25">
      <c r="A3" s="938"/>
      <c r="B3" s="913"/>
      <c r="C3" s="914" t="s">
        <v>561</v>
      </c>
      <c r="D3" s="915"/>
      <c r="E3" s="915"/>
      <c r="F3" s="915"/>
      <c r="G3" s="915"/>
      <c r="H3" s="915"/>
      <c r="I3" s="915"/>
      <c r="J3" s="915"/>
      <c r="K3" s="915"/>
      <c r="L3" s="915"/>
      <c r="M3" s="915"/>
      <c r="N3" s="915"/>
      <c r="O3" s="915"/>
      <c r="P3" s="915"/>
      <c r="Q3" s="915"/>
      <c r="R3" s="939"/>
    </row>
    <row r="4" spans="1:26" ht="6.75" customHeight="1" x14ac:dyDescent="0.2">
      <c r="A4" s="938"/>
      <c r="B4" s="917"/>
      <c r="C4" s="918"/>
      <c r="D4" s="918"/>
      <c r="E4" s="918"/>
      <c r="F4" s="918"/>
      <c r="G4" s="918"/>
      <c r="H4" s="918"/>
      <c r="I4" s="918"/>
      <c r="J4" s="918"/>
      <c r="K4" s="918"/>
      <c r="L4" s="918"/>
      <c r="M4" s="918"/>
      <c r="N4" s="918"/>
      <c r="O4" s="918"/>
      <c r="P4" s="918"/>
      <c r="Q4" s="918"/>
      <c r="R4" s="941"/>
    </row>
    <row r="5" spans="1:26" x14ac:dyDescent="0.2">
      <c r="A5" s="938"/>
      <c r="B5" s="920"/>
      <c r="C5" s="921"/>
      <c r="D5" s="921"/>
      <c r="E5" s="921"/>
      <c r="F5" s="921"/>
      <c r="G5" s="921"/>
      <c r="H5" s="921"/>
      <c r="I5" s="921"/>
      <c r="J5" s="921"/>
      <c r="K5" s="921"/>
      <c r="L5" s="921"/>
      <c r="M5" s="921"/>
      <c r="N5" s="921"/>
      <c r="O5" s="921"/>
      <c r="P5" s="921"/>
      <c r="Q5" s="921"/>
      <c r="R5" s="942"/>
    </row>
    <row r="6" spans="1:26" ht="26.25" x14ac:dyDescent="0.4">
      <c r="A6" s="938"/>
      <c r="B6" s="920"/>
      <c r="C6" s="923"/>
      <c r="D6" s="1062" t="s">
        <v>539</v>
      </c>
      <c r="E6" s="1063"/>
      <c r="F6" s="1063"/>
      <c r="G6" s="1063"/>
      <c r="H6" s="1063"/>
      <c r="I6" s="1063"/>
      <c r="J6" s="1063"/>
      <c r="K6" s="1063"/>
      <c r="L6" s="1063"/>
      <c r="M6" s="1063"/>
      <c r="N6" s="1063"/>
      <c r="O6" s="1063"/>
      <c r="P6" s="1064"/>
      <c r="Q6" s="923"/>
      <c r="R6" s="942"/>
    </row>
    <row r="7" spans="1:26" x14ac:dyDescent="0.2">
      <c r="A7" s="938"/>
      <c r="B7" s="920"/>
      <c r="C7" s="923"/>
      <c r="D7" s="921"/>
      <c r="E7" s="923"/>
      <c r="F7" s="923"/>
      <c r="G7" s="923"/>
      <c r="H7" s="923"/>
      <c r="I7" s="923"/>
      <c r="J7" s="923"/>
      <c r="K7" s="923"/>
      <c r="L7" s="923"/>
      <c r="M7" s="923"/>
      <c r="N7" s="923"/>
      <c r="O7" s="923"/>
      <c r="P7" s="923"/>
      <c r="Q7" s="923"/>
      <c r="R7" s="942"/>
      <c r="T7" s="943" t="str">
        <f>D13</f>
        <v>ACCOMMODATION</v>
      </c>
      <c r="U7" s="944">
        <f>I45</f>
        <v>6877.067500000001</v>
      </c>
    </row>
    <row r="8" spans="1:26" ht="15" x14ac:dyDescent="0.25">
      <c r="A8" s="938"/>
      <c r="B8" s="920"/>
      <c r="C8" s="923"/>
      <c r="D8" s="924" t="s">
        <v>572</v>
      </c>
      <c r="E8" s="892"/>
      <c r="F8" s="925" t="str">
        <f>'TFG Quotation Template'!D8</f>
        <v>Dunk</v>
      </c>
      <c r="G8" s="892"/>
      <c r="H8" s="924" t="s">
        <v>589</v>
      </c>
      <c r="I8" s="892">
        <f>'TFG Quotation Template'!I6:J6</f>
        <v>0</v>
      </c>
      <c r="J8" s="892"/>
      <c r="K8" s="892"/>
      <c r="L8" s="892"/>
      <c r="M8" s="892"/>
      <c r="N8" s="892"/>
      <c r="O8" s="892"/>
      <c r="P8" s="892"/>
      <c r="Q8" s="923"/>
      <c r="R8" s="942"/>
      <c r="S8" s="945"/>
      <c r="T8" s="943" t="str">
        <f>D47</f>
        <v>GROUND HANDLING</v>
      </c>
      <c r="U8" s="944">
        <f>I51</f>
        <v>1176.9128787878788</v>
      </c>
      <c r="V8" s="946"/>
      <c r="W8" s="946"/>
      <c r="X8" s="946"/>
      <c r="Y8" s="946"/>
      <c r="Z8" s="946"/>
    </row>
    <row r="9" spans="1:26" ht="15" x14ac:dyDescent="0.25">
      <c r="A9" s="938"/>
      <c r="B9" s="920"/>
      <c r="C9" s="923"/>
      <c r="D9" s="924" t="s">
        <v>573</v>
      </c>
      <c r="E9" s="892"/>
      <c r="F9" s="925">
        <f>'TFG Quotation Template'!G8</f>
        <v>0</v>
      </c>
      <c r="G9" s="892"/>
      <c r="H9" s="892"/>
      <c r="I9" s="892"/>
      <c r="J9" s="892"/>
      <c r="K9" s="892"/>
      <c r="L9" s="892"/>
      <c r="M9" s="892"/>
      <c r="N9" s="892"/>
      <c r="O9" s="892"/>
      <c r="P9" s="892"/>
      <c r="Q9" s="923"/>
      <c r="R9" s="942"/>
      <c r="S9" s="938"/>
      <c r="T9" s="943" t="str">
        <f>D57</f>
        <v xml:space="preserve">SITE VISITS AND EXPERIENCES </v>
      </c>
      <c r="U9" s="944">
        <f>I60</f>
        <v>415.8</v>
      </c>
    </row>
    <row r="10" spans="1:26" ht="15" x14ac:dyDescent="0.25">
      <c r="A10" s="938"/>
      <c r="B10" s="920"/>
      <c r="C10" s="923"/>
      <c r="D10" s="924" t="s">
        <v>587</v>
      </c>
      <c r="E10" s="892"/>
      <c r="F10" s="925" t="str">
        <f>'TFG Quotation Template'!D6</f>
        <v>UK</v>
      </c>
      <c r="G10" s="892"/>
      <c r="H10" s="892"/>
      <c r="I10" s="892"/>
      <c r="J10" s="892"/>
      <c r="K10" s="892"/>
      <c r="L10" s="892"/>
      <c r="M10" s="892"/>
      <c r="N10" s="892"/>
      <c r="O10" s="892"/>
      <c r="P10" s="892"/>
      <c r="Q10" s="923"/>
      <c r="R10" s="942"/>
      <c r="S10" s="938"/>
      <c r="T10" s="943" t="str">
        <f>D62</f>
        <v>INTERNATIONAL FLIGHTS</v>
      </c>
      <c r="U10" s="944">
        <f>I64</f>
        <v>0</v>
      </c>
    </row>
    <row r="11" spans="1:26" ht="15" x14ac:dyDescent="0.25">
      <c r="A11" s="938"/>
      <c r="B11" s="920"/>
      <c r="C11" s="923"/>
      <c r="D11" s="926"/>
      <c r="E11" s="892"/>
      <c r="F11" s="892"/>
      <c r="G11" s="892"/>
      <c r="H11" s="892"/>
      <c r="I11" s="892"/>
      <c r="J11" s="892"/>
      <c r="K11" s="892"/>
      <c r="L11" s="892"/>
      <c r="M11" s="892"/>
      <c r="N11" s="892"/>
      <c r="O11" s="892"/>
      <c r="P11" s="892"/>
      <c r="Q11" s="923"/>
      <c r="R11" s="942"/>
      <c r="S11" s="938"/>
      <c r="T11" s="943" t="str">
        <f>D67</f>
        <v xml:space="preserve">OTHER STATUTORY CHARGES </v>
      </c>
      <c r="U11" s="944">
        <f>I69</f>
        <v>-50.39034060606059</v>
      </c>
    </row>
    <row r="12" spans="1:26" ht="15" x14ac:dyDescent="0.25">
      <c r="A12" s="938"/>
      <c r="B12" s="920"/>
      <c r="C12" s="923"/>
      <c r="D12" s="926"/>
      <c r="E12" s="892"/>
      <c r="F12" s="892"/>
      <c r="G12" s="892"/>
      <c r="H12" s="892"/>
      <c r="I12" s="892"/>
      <c r="J12" s="892"/>
      <c r="K12" s="892"/>
      <c r="L12" s="892"/>
      <c r="M12" s="892"/>
      <c r="N12" s="892"/>
      <c r="O12" s="892"/>
      <c r="P12" s="892"/>
      <c r="Q12" s="923"/>
      <c r="R12" s="942"/>
      <c r="S12" s="938"/>
      <c r="T12" s="951"/>
    </row>
    <row r="13" spans="1:26" ht="15" x14ac:dyDescent="0.25">
      <c r="A13" s="938"/>
      <c r="B13" s="920"/>
      <c r="C13" s="923"/>
      <c r="D13" s="1059" t="s">
        <v>608</v>
      </c>
      <c r="E13" s="1060"/>
      <c r="F13" s="892"/>
      <c r="G13" s="892"/>
      <c r="H13" s="892"/>
      <c r="I13" s="892"/>
      <c r="J13" s="892"/>
      <c r="K13" s="892"/>
      <c r="L13" s="892"/>
      <c r="M13" s="892"/>
      <c r="N13" s="892"/>
      <c r="O13" s="892"/>
      <c r="P13" s="892"/>
      <c r="Q13" s="923"/>
      <c r="R13" s="942"/>
      <c r="S13" s="938"/>
    </row>
    <row r="14" spans="1:26" ht="15" x14ac:dyDescent="0.25">
      <c r="A14" s="938"/>
      <c r="B14" s="920"/>
      <c r="C14" s="923"/>
      <c r="D14" s="927" t="s">
        <v>540</v>
      </c>
      <c r="E14" s="927" t="s">
        <v>541</v>
      </c>
      <c r="F14" s="927" t="s">
        <v>542</v>
      </c>
      <c r="G14" s="927" t="s">
        <v>543</v>
      </c>
      <c r="H14" s="928" t="s">
        <v>395</v>
      </c>
      <c r="I14" s="927" t="s">
        <v>544</v>
      </c>
      <c r="J14" s="929"/>
      <c r="K14" s="929"/>
      <c r="L14" s="929"/>
      <c r="M14" s="929"/>
      <c r="N14" s="929"/>
      <c r="O14" s="929"/>
      <c r="P14" s="929"/>
      <c r="Q14" s="923"/>
      <c r="R14" s="942"/>
      <c r="S14" s="938"/>
    </row>
    <row r="15" spans="1:26" ht="15" x14ac:dyDescent="0.25">
      <c r="A15" s="938"/>
      <c r="B15" s="920"/>
      <c r="C15" s="923"/>
      <c r="D15" s="895">
        <f>'TFG Quotation Template'!C14</f>
        <v>43870</v>
      </c>
      <c r="E15" s="896">
        <f>'TFG Quotation Template'!D14</f>
        <v>0</v>
      </c>
      <c r="F15" s="896" t="str">
        <f>'TFG Quotation Template'!F14</f>
        <v>Kings Pavillion</v>
      </c>
      <c r="G15" s="896" t="str">
        <f>'TFG Quotation Template'!I14</f>
        <v xml:space="preserve">Junior Suite </v>
      </c>
      <c r="H15" s="897" t="str">
        <f>'TFG Quotation Template'!J14</f>
        <v>BB</v>
      </c>
      <c r="I15" s="898">
        <f>IF('TFG Quotation Template'!$D$7='TFG Quotation Template'!$R$12,'TFG Quotation Template'!R14+'TFG Quotation Template'!W14,IF('TFG Quotation Template'!$D$7='TFG Quotation Template'!$S$12,'TFG Quotation Template'!S14+'TFG Quotation Template'!X14,IF('TFG Quotation Template'!$D$7='TFG Quotation Template'!$T$12,'TFG Quotation Template'!T14+'TFG Quotation Template'!Y14,'TFG Quotation Template'!U14+'TFG Quotation Template'!Z14)))</f>
        <v>398.35250000000002</v>
      </c>
      <c r="J15" s="930"/>
      <c r="K15" s="930"/>
      <c r="L15" s="930"/>
      <c r="M15" s="930"/>
      <c r="N15" s="930"/>
      <c r="O15" s="930"/>
      <c r="P15" s="930"/>
      <c r="Q15" s="931"/>
      <c r="R15" s="942"/>
      <c r="S15" s="938"/>
    </row>
    <row r="16" spans="1:26" ht="15" x14ac:dyDescent="0.25">
      <c r="A16" s="938"/>
      <c r="B16" s="920"/>
      <c r="C16" s="923"/>
      <c r="D16" s="895">
        <f>'TFG Quotation Template'!C15</f>
        <v>43871</v>
      </c>
      <c r="E16" s="896">
        <f>'TFG Quotation Template'!D15</f>
        <v>0</v>
      </c>
      <c r="F16" s="896" t="str">
        <f>'TFG Quotation Template'!F15</f>
        <v>Kings Pavillion</v>
      </c>
      <c r="G16" s="896" t="str">
        <f>'TFG Quotation Template'!I15</f>
        <v xml:space="preserve">Junior Suite </v>
      </c>
      <c r="H16" s="897" t="str">
        <f>'TFG Quotation Template'!J15</f>
        <v>BB</v>
      </c>
      <c r="I16" s="898">
        <f>IF('TFG Quotation Template'!$D$7='TFG Quotation Template'!$R$12,'TFG Quotation Template'!R15+'TFG Quotation Template'!W15,IF('TFG Quotation Template'!$D$7='TFG Quotation Template'!$S$12,'TFG Quotation Template'!S15+'TFG Quotation Template'!X15,IF('TFG Quotation Template'!$D$7='TFG Quotation Template'!$T$12,'TFG Quotation Template'!T15+'TFG Quotation Template'!Y15,'TFG Quotation Template'!U15+'TFG Quotation Template'!Z15)))</f>
        <v>398.35250000000002</v>
      </c>
      <c r="J16" s="930"/>
      <c r="K16" s="930"/>
      <c r="L16" s="930"/>
      <c r="M16" s="930"/>
      <c r="N16" s="930"/>
      <c r="O16" s="930"/>
      <c r="P16" s="930"/>
      <c r="Q16" s="931"/>
      <c r="R16" s="942"/>
      <c r="S16" s="938"/>
    </row>
    <row r="17" spans="1:19" ht="15" x14ac:dyDescent="0.25">
      <c r="A17" s="938"/>
      <c r="B17" s="920"/>
      <c r="C17" s="923"/>
      <c r="D17" s="895">
        <f>'TFG Quotation Template'!C16</f>
        <v>43872</v>
      </c>
      <c r="E17" s="896">
        <f>'TFG Quotation Template'!D16</f>
        <v>0</v>
      </c>
      <c r="F17" s="896" t="str">
        <f>'TFG Quotation Template'!F16</f>
        <v>Kings Pavillion</v>
      </c>
      <c r="G17" s="896" t="str">
        <f>'TFG Quotation Template'!I16</f>
        <v xml:space="preserve">Junior Suite </v>
      </c>
      <c r="H17" s="897" t="str">
        <f>'TFG Quotation Template'!J16</f>
        <v>BB</v>
      </c>
      <c r="I17" s="898">
        <f>IF('TFG Quotation Template'!$D$7='TFG Quotation Template'!$R$12,'TFG Quotation Template'!R16+'TFG Quotation Template'!W16,IF('TFG Quotation Template'!$D$7='TFG Quotation Template'!$S$12,'TFG Quotation Template'!S16+'TFG Quotation Template'!X16,IF('TFG Quotation Template'!$D$7='TFG Quotation Template'!$T$12,'TFG Quotation Template'!T16+'TFG Quotation Template'!Y16,'TFG Quotation Template'!U16+'TFG Quotation Template'!Z16)))</f>
        <v>398.35250000000002</v>
      </c>
      <c r="J17" s="930"/>
      <c r="K17" s="930"/>
      <c r="L17" s="930"/>
      <c r="M17" s="930"/>
      <c r="N17" s="930"/>
      <c r="O17" s="930"/>
      <c r="P17" s="930"/>
      <c r="Q17" s="931"/>
      <c r="R17" s="942"/>
      <c r="S17" s="938"/>
    </row>
    <row r="18" spans="1:19" ht="15" x14ac:dyDescent="0.25">
      <c r="A18" s="938"/>
      <c r="B18" s="920"/>
      <c r="C18" s="923"/>
      <c r="D18" s="895">
        <f>'TFG Quotation Template'!C17</f>
        <v>43873</v>
      </c>
      <c r="E18" s="896">
        <f>'TFG Quotation Template'!D17</f>
        <v>0</v>
      </c>
      <c r="F18" s="896" t="str">
        <f>'TFG Quotation Template'!F17</f>
        <v>Nine Skies</v>
      </c>
      <c r="G18" s="896" t="str">
        <f>'TFG Quotation Template'!I17</f>
        <v>Bedroom twin</v>
      </c>
      <c r="H18" s="897" t="str">
        <f>'TFG Quotation Template'!J17</f>
        <v>Ai</v>
      </c>
      <c r="I18" s="898">
        <f>IF('TFG Quotation Template'!$D$7='TFG Quotation Template'!$R$12,'TFG Quotation Template'!R17+'TFG Quotation Template'!W17,IF('TFG Quotation Template'!$D$7='TFG Quotation Template'!$S$12,'TFG Quotation Template'!S17+'TFG Quotation Template'!X17,IF('TFG Quotation Template'!$D$7='TFG Quotation Template'!$T$12,'TFG Quotation Template'!T17+'TFG Quotation Template'!Y17,'TFG Quotation Template'!U17+'TFG Quotation Template'!Z17)))</f>
        <v>581.9</v>
      </c>
      <c r="J18" s="930"/>
      <c r="K18" s="930"/>
      <c r="L18" s="930"/>
      <c r="M18" s="930"/>
      <c r="N18" s="930"/>
      <c r="O18" s="930"/>
      <c r="P18" s="930"/>
      <c r="Q18" s="931"/>
      <c r="R18" s="942"/>
      <c r="S18" s="938"/>
    </row>
    <row r="19" spans="1:19" ht="15" x14ac:dyDescent="0.25">
      <c r="A19" s="938"/>
      <c r="B19" s="920"/>
      <c r="C19" s="923"/>
      <c r="D19" s="895">
        <f>'TFG Quotation Template'!C18</f>
        <v>43874</v>
      </c>
      <c r="E19" s="896">
        <f>'TFG Quotation Template'!D18</f>
        <v>0</v>
      </c>
      <c r="F19" s="896" t="str">
        <f>'TFG Quotation Template'!F18</f>
        <v>Nine Skies</v>
      </c>
      <c r="G19" s="896" t="str">
        <f>'TFG Quotation Template'!I18</f>
        <v>Bedroom twin</v>
      </c>
      <c r="H19" s="897" t="str">
        <f>'TFG Quotation Template'!J18</f>
        <v>AI</v>
      </c>
      <c r="I19" s="898">
        <f>IF('TFG Quotation Template'!$D$7='TFG Quotation Template'!$R$12,'TFG Quotation Template'!R18+'TFG Quotation Template'!W18,IF('TFG Quotation Template'!$D$7='TFG Quotation Template'!$S$12,'TFG Quotation Template'!S18+'TFG Quotation Template'!X18,IF('TFG Quotation Template'!$D$7='TFG Quotation Template'!$T$12,'TFG Quotation Template'!T18+'TFG Quotation Template'!Y18,'TFG Quotation Template'!U18+'TFG Quotation Template'!Z18)))</f>
        <v>581.9</v>
      </c>
      <c r="J19" s="930"/>
      <c r="K19" s="930"/>
      <c r="L19" s="930"/>
      <c r="M19" s="930"/>
      <c r="N19" s="930"/>
      <c r="O19" s="930"/>
      <c r="P19" s="930"/>
      <c r="Q19" s="931"/>
      <c r="R19" s="942"/>
      <c r="S19" s="938"/>
    </row>
    <row r="20" spans="1:19" ht="15" x14ac:dyDescent="0.25">
      <c r="A20" s="938"/>
      <c r="B20" s="920"/>
      <c r="C20" s="923"/>
      <c r="D20" s="895">
        <f>'TFG Quotation Template'!C19</f>
        <v>43875</v>
      </c>
      <c r="E20" s="896">
        <f>'TFG Quotation Template'!D19</f>
        <v>0</v>
      </c>
      <c r="F20" s="896" t="str">
        <f>'TFG Quotation Template'!F19</f>
        <v>Wild oast Lodge</v>
      </c>
      <c r="G20" s="896" t="str">
        <f>'TFG Quotation Template'!I19</f>
        <v>Cocoon Suite</v>
      </c>
      <c r="H20" s="897" t="str">
        <f>'TFG Quotation Template'!J19</f>
        <v>AI</v>
      </c>
      <c r="I20" s="898">
        <f>IF('TFG Quotation Template'!$D$7='TFG Quotation Template'!$R$12,'TFG Quotation Template'!R19+'TFG Quotation Template'!W19,IF('TFG Quotation Template'!$D$7='TFG Quotation Template'!$S$12,'TFG Quotation Template'!S19+'TFG Quotation Template'!X19,IF('TFG Quotation Template'!$D$7='TFG Quotation Template'!$T$12,'TFG Quotation Template'!T19+'TFG Quotation Template'!Y19,'TFG Quotation Template'!U19+'TFG Quotation Template'!Z19)))</f>
        <v>1016.4000000000001</v>
      </c>
      <c r="J20" s="930"/>
      <c r="K20" s="930"/>
      <c r="L20" s="930"/>
      <c r="M20" s="930"/>
      <c r="N20" s="930"/>
      <c r="O20" s="930"/>
      <c r="P20" s="930"/>
      <c r="Q20" s="931"/>
      <c r="R20" s="942"/>
      <c r="S20" s="938"/>
    </row>
    <row r="21" spans="1:19" ht="15" x14ac:dyDescent="0.25">
      <c r="A21" s="938"/>
      <c r="B21" s="920"/>
      <c r="C21" s="923"/>
      <c r="D21" s="895">
        <f>'TFG Quotation Template'!C20</f>
        <v>43876</v>
      </c>
      <c r="E21" s="896">
        <f>'TFG Quotation Template'!D20</f>
        <v>0</v>
      </c>
      <c r="F21" s="896" t="str">
        <f>'TFG Quotation Template'!F20</f>
        <v>Wild oast Lodge</v>
      </c>
      <c r="G21" s="896" t="str">
        <f>'TFG Quotation Template'!I20</f>
        <v>Cocoon Suite</v>
      </c>
      <c r="H21" s="897" t="str">
        <f>'TFG Quotation Template'!J20</f>
        <v>AI</v>
      </c>
      <c r="I21" s="898">
        <f>IF('TFG Quotation Template'!$D$7='TFG Quotation Template'!$R$12,'TFG Quotation Template'!R20+'TFG Quotation Template'!W20,IF('TFG Quotation Template'!$D$7='TFG Quotation Template'!$S$12,'TFG Quotation Template'!S20+'TFG Quotation Template'!X20,IF('TFG Quotation Template'!$D$7='TFG Quotation Template'!$T$12,'TFG Quotation Template'!T20+'TFG Quotation Template'!Y20,'TFG Quotation Template'!U20+'TFG Quotation Template'!Z20)))</f>
        <v>1016.4000000000001</v>
      </c>
      <c r="J21" s="930"/>
      <c r="K21" s="930"/>
      <c r="L21" s="930"/>
      <c r="M21" s="930"/>
      <c r="N21" s="930"/>
      <c r="O21" s="930"/>
      <c r="P21" s="930"/>
      <c r="Q21" s="931"/>
      <c r="R21" s="942"/>
      <c r="S21" s="938"/>
    </row>
    <row r="22" spans="1:19" ht="15" x14ac:dyDescent="0.25">
      <c r="A22" s="938"/>
      <c r="B22" s="920"/>
      <c r="C22" s="923"/>
      <c r="D22" s="895">
        <f>'TFG Quotation Template'!C21</f>
        <v>43877</v>
      </c>
      <c r="E22" s="896">
        <f>'TFG Quotation Template'!D21</f>
        <v>0</v>
      </c>
      <c r="F22" s="896" t="str">
        <f>'TFG Quotation Template'!F21</f>
        <v>Wild oast Lodge</v>
      </c>
      <c r="G22" s="896" t="str">
        <f>'TFG Quotation Template'!I21</f>
        <v>Cocoon Suite</v>
      </c>
      <c r="H22" s="897" t="str">
        <f>'TFG Quotation Template'!J21</f>
        <v>AI</v>
      </c>
      <c r="I22" s="898">
        <f>IF('TFG Quotation Template'!$D$7='TFG Quotation Template'!$R$12,'TFG Quotation Template'!R21+'TFG Quotation Template'!W21,IF('TFG Quotation Template'!$D$7='TFG Quotation Template'!$S$12,'TFG Quotation Template'!S21+'TFG Quotation Template'!X21,IF('TFG Quotation Template'!$D$7='TFG Quotation Template'!$T$12,'TFG Quotation Template'!T21+'TFG Quotation Template'!Y21,'TFG Quotation Template'!U21+'TFG Quotation Template'!Z21)))</f>
        <v>1016.4000000000001</v>
      </c>
      <c r="J22" s="930"/>
      <c r="K22" s="930"/>
      <c r="L22" s="930"/>
      <c r="M22" s="930"/>
      <c r="N22" s="930"/>
      <c r="O22" s="930"/>
      <c r="P22" s="930"/>
      <c r="Q22" s="931"/>
      <c r="R22" s="942"/>
      <c r="S22" s="938"/>
    </row>
    <row r="23" spans="1:19" ht="15" x14ac:dyDescent="0.25">
      <c r="A23" s="938"/>
      <c r="B23" s="920"/>
      <c r="C23" s="923"/>
      <c r="D23" s="895">
        <f>'TFG Quotation Template'!C22</f>
        <v>43878</v>
      </c>
      <c r="E23" s="896" t="str">
        <f>'TFG Quotation Template'!D22</f>
        <v>303 per night on BB with a 40% off from pasan and an HB upgrade</v>
      </c>
      <c r="F23" s="896" t="str">
        <f>'TFG Quotation Template'!F22</f>
        <v>Shangri La Hambantota</v>
      </c>
      <c r="G23" s="896" t="str">
        <f>'TFG Quotation Template'!I22</f>
        <v>Premier Ocean Room</v>
      </c>
      <c r="H23" s="897" t="str">
        <f>'TFG Quotation Template'!J22</f>
        <v>HB</v>
      </c>
      <c r="I23" s="898">
        <f>IF('TFG Quotation Template'!$D$7='TFG Quotation Template'!$R$12,'TFG Quotation Template'!R22+'TFG Quotation Template'!W22,IF('TFG Quotation Template'!$D$7='TFG Quotation Template'!$S$12,'TFG Quotation Template'!S22+'TFG Quotation Template'!X22,IF('TFG Quotation Template'!$D$7='TFG Quotation Template'!$T$12,'TFG Quotation Template'!T22+'TFG Quotation Template'!Y22,'TFG Quotation Template'!U22+'TFG Quotation Template'!Z22)))</f>
        <v>209.07</v>
      </c>
      <c r="J23" s="930"/>
      <c r="K23" s="930"/>
      <c r="L23" s="930"/>
      <c r="M23" s="930"/>
      <c r="N23" s="930"/>
      <c r="O23" s="930"/>
      <c r="P23" s="930"/>
      <c r="Q23" s="931"/>
      <c r="R23" s="942"/>
      <c r="S23" s="938"/>
    </row>
    <row r="24" spans="1:19" ht="15" x14ac:dyDescent="0.25">
      <c r="A24" s="938"/>
      <c r="B24" s="920"/>
      <c r="C24" s="923"/>
      <c r="D24" s="895">
        <f>'TFG Quotation Template'!C23</f>
        <v>43879</v>
      </c>
      <c r="E24" s="896">
        <f>'TFG Quotation Template'!D23</f>
        <v>0</v>
      </c>
      <c r="F24" s="896" t="str">
        <f>'TFG Quotation Template'!F23</f>
        <v>Shangri La Hambantota</v>
      </c>
      <c r="G24" s="896" t="str">
        <f>'TFG Quotation Template'!I23</f>
        <v>Premier Ocean Room</v>
      </c>
      <c r="H24" s="897" t="str">
        <f>'TFG Quotation Template'!J23</f>
        <v>HB</v>
      </c>
      <c r="I24" s="898">
        <f>IF('TFG Quotation Template'!$D$7='TFG Quotation Template'!$R$12,'TFG Quotation Template'!R23+'TFG Quotation Template'!W23,IF('TFG Quotation Template'!$D$7='TFG Quotation Template'!$S$12,'TFG Quotation Template'!S23+'TFG Quotation Template'!X23,IF('TFG Quotation Template'!$D$7='TFG Quotation Template'!$T$12,'TFG Quotation Template'!T23+'TFG Quotation Template'!Y23,'TFG Quotation Template'!U23+'TFG Quotation Template'!Z23)))</f>
        <v>209.07</v>
      </c>
      <c r="J24" s="930"/>
      <c r="K24" s="930"/>
      <c r="L24" s="930"/>
      <c r="M24" s="930"/>
      <c r="N24" s="930"/>
      <c r="O24" s="930"/>
      <c r="P24" s="930"/>
      <c r="Q24" s="931"/>
      <c r="R24" s="942"/>
      <c r="S24" s="938"/>
    </row>
    <row r="25" spans="1:19" ht="15.75" customHeight="1" x14ac:dyDescent="0.25">
      <c r="A25" s="938"/>
      <c r="B25" s="920"/>
      <c r="C25" s="923"/>
      <c r="D25" s="895">
        <f>'TFG Quotation Template'!C24</f>
        <v>43880</v>
      </c>
      <c r="E25" s="896">
        <f>'TFG Quotation Template'!D24</f>
        <v>0</v>
      </c>
      <c r="F25" s="896" t="str">
        <f>'TFG Quotation Template'!F24</f>
        <v>Shangri La Hambantota</v>
      </c>
      <c r="G25" s="896" t="str">
        <f>'TFG Quotation Template'!I24</f>
        <v>Premier Ocean Room</v>
      </c>
      <c r="H25" s="897" t="str">
        <f>'TFG Quotation Template'!J24</f>
        <v>HB</v>
      </c>
      <c r="I25" s="898">
        <f>IF('TFG Quotation Template'!$D$7='TFG Quotation Template'!$R$12,'TFG Quotation Template'!R24+'TFG Quotation Template'!W24,IF('TFG Quotation Template'!$D$7='TFG Quotation Template'!$S$12,'TFG Quotation Template'!S24+'TFG Quotation Template'!X24,IF('TFG Quotation Template'!$D$7='TFG Quotation Template'!$T$12,'TFG Quotation Template'!T24+'TFG Quotation Template'!Y24,'TFG Quotation Template'!U24+'TFG Quotation Template'!Z24)))</f>
        <v>209.07</v>
      </c>
      <c r="J25" s="930"/>
      <c r="K25" s="930"/>
      <c r="L25" s="930"/>
      <c r="M25" s="930"/>
      <c r="N25" s="930"/>
      <c r="O25" s="930"/>
      <c r="P25" s="930"/>
      <c r="Q25" s="931"/>
      <c r="R25" s="942"/>
      <c r="S25" s="938"/>
    </row>
    <row r="26" spans="1:19" ht="15.75" customHeight="1" x14ac:dyDescent="0.25">
      <c r="A26" s="938"/>
      <c r="B26" s="920"/>
      <c r="C26" s="923"/>
      <c r="D26" s="895">
        <f>'TFG Quotation Template'!C25</f>
        <v>43881</v>
      </c>
      <c r="E26" s="896">
        <f>'TFG Quotation Template'!D25</f>
        <v>0</v>
      </c>
      <c r="F26" s="896" t="str">
        <f>'TFG Quotation Template'!F25</f>
        <v>OTP</v>
      </c>
      <c r="G26" s="896" t="str">
        <f>'TFG Quotation Template'!I25</f>
        <v>Suite Dreams</v>
      </c>
      <c r="H26" s="897" t="str">
        <f>'TFG Quotation Template'!J25</f>
        <v>BB</v>
      </c>
      <c r="I26" s="898">
        <f>IF('TFG Quotation Template'!$D$7='TFG Quotation Template'!$R$12,'TFG Quotation Template'!R25+'TFG Quotation Template'!W25,IF('TFG Quotation Template'!$D$7='TFG Quotation Template'!$S$12,'TFG Quotation Template'!S25+'TFG Quotation Template'!X25,IF('TFG Quotation Template'!$D$7='TFG Quotation Template'!$T$12,'TFG Quotation Template'!T25+'TFG Quotation Template'!Y25,'TFG Quotation Template'!U25+'TFG Quotation Template'!Z25)))</f>
        <v>280.59999999999997</v>
      </c>
      <c r="J26" s="930"/>
      <c r="K26" s="930"/>
      <c r="L26" s="930"/>
      <c r="M26" s="930"/>
      <c r="N26" s="930"/>
      <c r="O26" s="930"/>
      <c r="P26" s="930"/>
      <c r="Q26" s="931"/>
      <c r="R26" s="942"/>
      <c r="S26" s="938"/>
    </row>
    <row r="27" spans="1:19" ht="15.75" customHeight="1" x14ac:dyDescent="0.25">
      <c r="A27" s="938"/>
      <c r="B27" s="920"/>
      <c r="C27" s="923"/>
      <c r="D27" s="895">
        <f>'TFG Quotation Template'!C26</f>
        <v>43882</v>
      </c>
      <c r="E27" s="896">
        <f>'TFG Quotation Template'!D26</f>
        <v>0</v>
      </c>
      <c r="F27" s="896" t="str">
        <f>'TFG Quotation Template'!F26</f>
        <v>OTP</v>
      </c>
      <c r="G27" s="896" t="str">
        <f>'TFG Quotation Template'!I26</f>
        <v>Suite Dreams</v>
      </c>
      <c r="H27" s="897" t="str">
        <f>'TFG Quotation Template'!J26</f>
        <v>BB</v>
      </c>
      <c r="I27" s="898">
        <f>IF('TFG Quotation Template'!$D$7='TFG Quotation Template'!$R$12,'TFG Quotation Template'!R26+'TFG Quotation Template'!W26,IF('TFG Quotation Template'!$D$7='TFG Quotation Template'!$S$12,'TFG Quotation Template'!S26+'TFG Quotation Template'!X26,IF('TFG Quotation Template'!$D$7='TFG Quotation Template'!$T$12,'TFG Quotation Template'!T26+'TFG Quotation Template'!Y26,'TFG Quotation Template'!U26+'TFG Quotation Template'!Z26)))</f>
        <v>280.59999999999997</v>
      </c>
      <c r="J27" s="930"/>
      <c r="K27" s="930"/>
      <c r="L27" s="930"/>
      <c r="M27" s="930"/>
      <c r="N27" s="930"/>
      <c r="O27" s="930"/>
      <c r="P27" s="930"/>
      <c r="Q27" s="931"/>
      <c r="R27" s="942"/>
      <c r="S27" s="938"/>
    </row>
    <row r="28" spans="1:19" ht="15" x14ac:dyDescent="0.25">
      <c r="A28" s="938"/>
      <c r="B28" s="920"/>
      <c r="C28" s="923"/>
      <c r="D28" s="895">
        <f>'TFG Quotation Template'!C27</f>
        <v>43883</v>
      </c>
      <c r="E28" s="896">
        <f>'TFG Quotation Template'!D27</f>
        <v>0</v>
      </c>
      <c r="F28" s="896" t="str">
        <f>'TFG Quotation Template'!F27</f>
        <v>OTP</v>
      </c>
      <c r="G28" s="896" t="str">
        <f>'TFG Quotation Template'!I27</f>
        <v>Suite Dreams</v>
      </c>
      <c r="H28" s="897" t="str">
        <f>'TFG Quotation Template'!J27</f>
        <v>BB</v>
      </c>
      <c r="I28" s="898">
        <f>IF('TFG Quotation Template'!$D$7='TFG Quotation Template'!$R$12,'TFG Quotation Template'!R27+'TFG Quotation Template'!W27,IF('TFG Quotation Template'!$D$7='TFG Quotation Template'!$S$12,'TFG Quotation Template'!S27+'TFG Quotation Template'!X27,IF('TFG Quotation Template'!$D$7='TFG Quotation Template'!$T$12,'TFG Quotation Template'!T27+'TFG Quotation Template'!Y27,'TFG Quotation Template'!U27+'TFG Quotation Template'!Z27)))</f>
        <v>280.59999999999997</v>
      </c>
      <c r="J28" s="930"/>
      <c r="K28" s="930"/>
      <c r="L28" s="930"/>
      <c r="M28" s="930"/>
      <c r="N28" s="930"/>
      <c r="O28" s="930"/>
      <c r="P28" s="930"/>
      <c r="Q28" s="931"/>
      <c r="R28" s="942"/>
      <c r="S28" s="938"/>
    </row>
    <row r="29" spans="1:19" ht="15" x14ac:dyDescent="0.25">
      <c r="A29" s="938"/>
      <c r="B29" s="920"/>
      <c r="C29" s="923"/>
      <c r="D29" s="895">
        <f>'TFG Quotation Template'!C28</f>
        <v>43884</v>
      </c>
      <c r="E29" s="896">
        <f>'TFG Quotation Template'!D28</f>
        <v>0</v>
      </c>
      <c r="F29" s="896">
        <f>'TFG Quotation Template'!F28</f>
        <v>0</v>
      </c>
      <c r="G29" s="896">
        <f>'TFG Quotation Template'!I28</f>
        <v>0</v>
      </c>
      <c r="H29" s="897">
        <f>'TFG Quotation Template'!J28</f>
        <v>0</v>
      </c>
      <c r="I29" s="898">
        <f>IF('TFG Quotation Template'!$D$7='TFG Quotation Template'!$R$12,'TFG Quotation Template'!R28+'TFG Quotation Template'!W28,IF('TFG Quotation Template'!$D$7='TFG Quotation Template'!$S$12,'TFG Quotation Template'!S28+'TFG Quotation Template'!X28,IF('TFG Quotation Template'!$D$7='TFG Quotation Template'!$T$12,'TFG Quotation Template'!T28+'TFG Quotation Template'!Y28,'TFG Quotation Template'!U28+'TFG Quotation Template'!Z28)))</f>
        <v>0</v>
      </c>
      <c r="J29" s="930"/>
      <c r="K29" s="930"/>
      <c r="L29" s="930"/>
      <c r="M29" s="930"/>
      <c r="N29" s="930"/>
      <c r="O29" s="930"/>
      <c r="P29" s="930"/>
      <c r="Q29" s="931"/>
      <c r="R29" s="942"/>
      <c r="S29" s="938"/>
    </row>
    <row r="30" spans="1:19" ht="15" x14ac:dyDescent="0.25">
      <c r="A30" s="938"/>
      <c r="B30" s="920"/>
      <c r="C30" s="923"/>
      <c r="D30" s="895">
        <f>'TFG Quotation Template'!C29</f>
        <v>0</v>
      </c>
      <c r="E30" s="896">
        <f>'TFG Quotation Template'!D29</f>
        <v>0</v>
      </c>
      <c r="F30" s="896">
        <f>'TFG Quotation Template'!F29</f>
        <v>0</v>
      </c>
      <c r="G30" s="896">
        <f>'TFG Quotation Template'!I29</f>
        <v>0</v>
      </c>
      <c r="H30" s="897">
        <f>'TFG Quotation Template'!J29</f>
        <v>0</v>
      </c>
      <c r="I30" s="898">
        <f>IF('TFG Quotation Template'!$D$7='TFG Quotation Template'!$R$12,'TFG Quotation Template'!R29+'TFG Quotation Template'!W29,IF('TFG Quotation Template'!$D$7='TFG Quotation Template'!$S$12,'TFG Quotation Template'!S29+'TFG Quotation Template'!X29,IF('TFG Quotation Template'!$D$7='TFG Quotation Template'!$T$12,'TFG Quotation Template'!T29+'TFG Quotation Template'!Y29,'TFG Quotation Template'!U29+'TFG Quotation Template'!Z29)))</f>
        <v>0</v>
      </c>
      <c r="J30" s="930"/>
      <c r="K30" s="930"/>
      <c r="L30" s="930"/>
      <c r="M30" s="930"/>
      <c r="N30" s="930"/>
      <c r="O30" s="930"/>
      <c r="P30" s="930"/>
      <c r="Q30" s="931"/>
      <c r="R30" s="942"/>
      <c r="S30" s="938"/>
    </row>
    <row r="31" spans="1:19" ht="15" x14ac:dyDescent="0.25">
      <c r="A31" s="938"/>
      <c r="B31" s="920"/>
      <c r="C31" s="923"/>
      <c r="D31" s="895">
        <f>'TFG Quotation Template'!C30</f>
        <v>0</v>
      </c>
      <c r="E31" s="896">
        <f>'TFG Quotation Template'!D30</f>
        <v>0</v>
      </c>
      <c r="F31" s="896">
        <f>'TFG Quotation Template'!F30</f>
        <v>0</v>
      </c>
      <c r="G31" s="896">
        <f>'TFG Quotation Template'!I30</f>
        <v>0</v>
      </c>
      <c r="H31" s="897">
        <f>'TFG Quotation Template'!J30</f>
        <v>0</v>
      </c>
      <c r="I31" s="898">
        <f>IF('TFG Quotation Template'!$D$7='TFG Quotation Template'!$R$12,'TFG Quotation Template'!R30+'TFG Quotation Template'!W30,IF('TFG Quotation Template'!$D$7='TFG Quotation Template'!$S$12,'TFG Quotation Template'!S30+'TFG Quotation Template'!X30,IF('TFG Quotation Template'!$D$7='TFG Quotation Template'!$T$12,'TFG Quotation Template'!T30+'TFG Quotation Template'!Y30,'TFG Quotation Template'!U30+'TFG Quotation Template'!Z30)))</f>
        <v>0</v>
      </c>
      <c r="J31" s="930"/>
      <c r="K31" s="930"/>
      <c r="L31" s="930"/>
      <c r="M31" s="930"/>
      <c r="N31" s="930"/>
      <c r="O31" s="930"/>
      <c r="P31" s="930"/>
      <c r="Q31" s="931"/>
      <c r="R31" s="942"/>
      <c r="S31" s="938"/>
    </row>
    <row r="32" spans="1:19" ht="15" x14ac:dyDescent="0.25">
      <c r="A32" s="938"/>
      <c r="B32" s="920"/>
      <c r="C32" s="923"/>
      <c r="D32" s="895">
        <f>'TFG Quotation Template'!C31</f>
        <v>0</v>
      </c>
      <c r="E32" s="896">
        <f>'TFG Quotation Template'!D31</f>
        <v>0</v>
      </c>
      <c r="F32" s="896">
        <f>'TFG Quotation Template'!F31</f>
        <v>0</v>
      </c>
      <c r="G32" s="896">
        <f>'TFG Quotation Template'!I31</f>
        <v>0</v>
      </c>
      <c r="H32" s="897">
        <f>'TFG Quotation Template'!J31</f>
        <v>0</v>
      </c>
      <c r="I32" s="898">
        <f>IF('TFG Quotation Template'!$D$7='TFG Quotation Template'!$R$12,'TFG Quotation Template'!R31+'TFG Quotation Template'!W31,IF('TFG Quotation Template'!$D$7='TFG Quotation Template'!$S$12,'TFG Quotation Template'!S31+'TFG Quotation Template'!X31,IF('TFG Quotation Template'!$D$7='TFG Quotation Template'!$T$12,'TFG Quotation Template'!T31+'TFG Quotation Template'!Y31,'TFG Quotation Template'!U31+'TFG Quotation Template'!Z31)))</f>
        <v>0</v>
      </c>
      <c r="J32" s="930"/>
      <c r="K32" s="930"/>
      <c r="L32" s="930"/>
      <c r="M32" s="930"/>
      <c r="N32" s="930"/>
      <c r="O32" s="930"/>
      <c r="P32" s="930"/>
      <c r="Q32" s="931"/>
      <c r="R32" s="942"/>
      <c r="S32" s="938"/>
    </row>
    <row r="33" spans="1:19" ht="15" x14ac:dyDescent="0.25">
      <c r="A33" s="938"/>
      <c r="B33" s="920"/>
      <c r="C33" s="923"/>
      <c r="D33" s="895">
        <f>'TFG Quotation Template'!C32</f>
        <v>0</v>
      </c>
      <c r="E33" s="896">
        <f>'TFG Quotation Template'!D32</f>
        <v>0</v>
      </c>
      <c r="F33" s="896">
        <f>'TFG Quotation Template'!F32</f>
        <v>0</v>
      </c>
      <c r="G33" s="896">
        <f>'TFG Quotation Template'!I32</f>
        <v>0</v>
      </c>
      <c r="H33" s="897">
        <f>'TFG Quotation Template'!J32</f>
        <v>0</v>
      </c>
      <c r="I33" s="898">
        <f>IF('TFG Quotation Template'!$D$7='TFG Quotation Template'!$R$12,'TFG Quotation Template'!R32+'TFG Quotation Template'!W32,IF('TFG Quotation Template'!$D$7='TFG Quotation Template'!$S$12,'TFG Quotation Template'!S32+'TFG Quotation Template'!X32,IF('TFG Quotation Template'!$D$7='TFG Quotation Template'!$T$12,'TFG Quotation Template'!T32+'TFG Quotation Template'!Y32,'TFG Quotation Template'!U32+'TFG Quotation Template'!Z32)))</f>
        <v>0</v>
      </c>
      <c r="J33" s="930"/>
      <c r="K33" s="930"/>
      <c r="L33" s="930"/>
      <c r="M33" s="930"/>
      <c r="N33" s="930"/>
      <c r="O33" s="930"/>
      <c r="P33" s="930"/>
      <c r="Q33" s="931"/>
      <c r="R33" s="942"/>
      <c r="S33" s="938"/>
    </row>
    <row r="34" spans="1:19" ht="15" x14ac:dyDescent="0.25">
      <c r="A34" s="938"/>
      <c r="B34" s="920"/>
      <c r="C34" s="923"/>
      <c r="D34" s="895">
        <f>'TFG Quotation Template'!C33</f>
        <v>0</v>
      </c>
      <c r="E34" s="896">
        <f>'TFG Quotation Template'!D33</f>
        <v>0</v>
      </c>
      <c r="F34" s="896">
        <f>'TFG Quotation Template'!F33</f>
        <v>0</v>
      </c>
      <c r="G34" s="896">
        <f>'TFG Quotation Template'!I33</f>
        <v>0</v>
      </c>
      <c r="H34" s="897">
        <f>'TFG Quotation Template'!J33</f>
        <v>0</v>
      </c>
      <c r="I34" s="898">
        <f>IF('TFG Quotation Template'!$D$7='TFG Quotation Template'!$R$12,'TFG Quotation Template'!R33+'TFG Quotation Template'!W33,IF('TFG Quotation Template'!$D$7='TFG Quotation Template'!$S$12,'TFG Quotation Template'!S33+'TFG Quotation Template'!X33,IF('TFG Quotation Template'!$D$7='TFG Quotation Template'!$T$12,'TFG Quotation Template'!T33+'TFG Quotation Template'!Y33,'TFG Quotation Template'!U33+'TFG Quotation Template'!Z33)))</f>
        <v>0</v>
      </c>
      <c r="J34" s="930"/>
      <c r="K34" s="930"/>
      <c r="L34" s="930"/>
      <c r="M34" s="930"/>
      <c r="N34" s="930"/>
      <c r="O34" s="930"/>
      <c r="P34" s="930"/>
      <c r="Q34" s="931"/>
      <c r="R34" s="942"/>
      <c r="S34" s="938"/>
    </row>
    <row r="35" spans="1:19" ht="15" x14ac:dyDescent="0.25">
      <c r="A35" s="938"/>
      <c r="B35" s="920"/>
      <c r="C35" s="923"/>
      <c r="D35" s="895">
        <f>'TFG Quotation Template'!C34</f>
        <v>0</v>
      </c>
      <c r="E35" s="896">
        <f>'TFG Quotation Template'!D34</f>
        <v>0</v>
      </c>
      <c r="F35" s="896">
        <f>'TFG Quotation Template'!F34</f>
        <v>0</v>
      </c>
      <c r="G35" s="896">
        <f>'TFG Quotation Template'!I34</f>
        <v>0</v>
      </c>
      <c r="H35" s="897">
        <f>'TFG Quotation Template'!J34</f>
        <v>0</v>
      </c>
      <c r="I35" s="898">
        <f>IF('TFG Quotation Template'!$D$7='TFG Quotation Template'!$R$12,'TFG Quotation Template'!R34+'TFG Quotation Template'!W34,IF('TFG Quotation Template'!$D$7='TFG Quotation Template'!$S$12,'TFG Quotation Template'!S34+'TFG Quotation Template'!X34,IF('TFG Quotation Template'!$D$7='TFG Quotation Template'!$T$12,'TFG Quotation Template'!T34+'TFG Quotation Template'!Y34,'TFG Quotation Template'!U34+'TFG Quotation Template'!Z34)))</f>
        <v>0</v>
      </c>
      <c r="J35" s="930"/>
      <c r="K35" s="930"/>
      <c r="L35" s="930"/>
      <c r="M35" s="930"/>
      <c r="N35" s="930"/>
      <c r="O35" s="930"/>
      <c r="P35" s="930"/>
      <c r="Q35" s="931"/>
      <c r="R35" s="942"/>
      <c r="S35" s="938"/>
    </row>
    <row r="36" spans="1:19" ht="15" x14ac:dyDescent="0.25">
      <c r="A36" s="938"/>
      <c r="B36" s="920"/>
      <c r="C36" s="923"/>
      <c r="D36" s="895">
        <f>'TFG Quotation Template'!C35</f>
        <v>0</v>
      </c>
      <c r="E36" s="896">
        <f>'TFG Quotation Template'!D35</f>
        <v>0</v>
      </c>
      <c r="F36" s="896">
        <f>'TFG Quotation Template'!F35</f>
        <v>0</v>
      </c>
      <c r="G36" s="896">
        <f>'TFG Quotation Template'!I35</f>
        <v>0</v>
      </c>
      <c r="H36" s="897">
        <f>'TFG Quotation Template'!J35</f>
        <v>0</v>
      </c>
      <c r="I36" s="898">
        <f>IF('TFG Quotation Template'!$D$7='TFG Quotation Template'!$R$12,'TFG Quotation Template'!R35+'TFG Quotation Template'!W35,IF('TFG Quotation Template'!$D$7='TFG Quotation Template'!$S$12,'TFG Quotation Template'!S35+'TFG Quotation Template'!X35,IF('TFG Quotation Template'!$D$7='TFG Quotation Template'!$T$12,'TFG Quotation Template'!T35+'TFG Quotation Template'!Y35,'TFG Quotation Template'!U35+'TFG Quotation Template'!Z35)))</f>
        <v>0</v>
      </c>
      <c r="J36" s="930"/>
      <c r="K36" s="930"/>
      <c r="L36" s="930"/>
      <c r="M36" s="930"/>
      <c r="N36" s="930"/>
      <c r="O36" s="930"/>
      <c r="P36" s="930"/>
      <c r="Q36" s="931"/>
      <c r="R36" s="942"/>
      <c r="S36" s="938"/>
    </row>
    <row r="37" spans="1:19" ht="15" x14ac:dyDescent="0.25">
      <c r="A37" s="938"/>
      <c r="B37" s="920"/>
      <c r="C37" s="923"/>
      <c r="D37" s="895">
        <f>'TFG Quotation Template'!C36</f>
        <v>0</v>
      </c>
      <c r="E37" s="896">
        <f>'TFG Quotation Template'!D36</f>
        <v>0</v>
      </c>
      <c r="F37" s="896">
        <f>'TFG Quotation Template'!F36</f>
        <v>0</v>
      </c>
      <c r="G37" s="896">
        <f>'TFG Quotation Template'!I36</f>
        <v>0</v>
      </c>
      <c r="H37" s="897">
        <f>'TFG Quotation Template'!J36</f>
        <v>0</v>
      </c>
      <c r="I37" s="898">
        <f>IF('TFG Quotation Template'!$D$7='TFG Quotation Template'!$R$12,'TFG Quotation Template'!R36+'TFG Quotation Template'!W36,IF('TFG Quotation Template'!$D$7='TFG Quotation Template'!$S$12,'TFG Quotation Template'!S36+'TFG Quotation Template'!X36,IF('TFG Quotation Template'!$D$7='TFG Quotation Template'!$T$12,'TFG Quotation Template'!T36+'TFG Quotation Template'!Y36,'TFG Quotation Template'!U36+'TFG Quotation Template'!Z36)))</f>
        <v>0</v>
      </c>
      <c r="J37" s="930"/>
      <c r="K37" s="930"/>
      <c r="L37" s="930"/>
      <c r="M37" s="930"/>
      <c r="N37" s="930"/>
      <c r="O37" s="930"/>
      <c r="P37" s="930"/>
      <c r="Q37" s="931"/>
      <c r="R37" s="942"/>
      <c r="S37" s="938"/>
    </row>
    <row r="38" spans="1:19" ht="15" x14ac:dyDescent="0.25">
      <c r="A38" s="938"/>
      <c r="B38" s="920"/>
      <c r="C38" s="923"/>
      <c r="D38" s="895">
        <f>'TFG Quotation Template'!C37</f>
        <v>0</v>
      </c>
      <c r="E38" s="896">
        <f>'TFG Quotation Template'!D37</f>
        <v>0</v>
      </c>
      <c r="F38" s="896">
        <f>'TFG Quotation Template'!F37</f>
        <v>0</v>
      </c>
      <c r="G38" s="896">
        <f>'TFG Quotation Template'!I37</f>
        <v>0</v>
      </c>
      <c r="H38" s="897">
        <f>'TFG Quotation Template'!J37</f>
        <v>0</v>
      </c>
      <c r="I38" s="898">
        <f>IF('TFG Quotation Template'!$D$7='TFG Quotation Template'!$R$12,'TFG Quotation Template'!R37+'TFG Quotation Template'!W37,IF('TFG Quotation Template'!$D$7='TFG Quotation Template'!$S$12,'TFG Quotation Template'!S37+'TFG Quotation Template'!X37,IF('TFG Quotation Template'!$D$7='TFG Quotation Template'!$T$12,'TFG Quotation Template'!T37+'TFG Quotation Template'!Y37,'TFG Quotation Template'!U37+'TFG Quotation Template'!Z37)))</f>
        <v>0</v>
      </c>
      <c r="J38" s="930"/>
      <c r="K38" s="930"/>
      <c r="L38" s="930"/>
      <c r="M38" s="930"/>
      <c r="N38" s="930"/>
      <c r="O38" s="930"/>
      <c r="P38" s="930"/>
      <c r="Q38" s="931"/>
      <c r="R38" s="942"/>
      <c r="S38" s="938"/>
    </row>
    <row r="39" spans="1:19" ht="15" x14ac:dyDescent="0.25">
      <c r="A39" s="938"/>
      <c r="B39" s="920"/>
      <c r="C39" s="923"/>
      <c r="D39" s="895">
        <f>'TFG Quotation Template'!C38</f>
        <v>0</v>
      </c>
      <c r="E39" s="896">
        <f>'TFG Quotation Template'!D38</f>
        <v>0</v>
      </c>
      <c r="F39" s="896">
        <f>'TFG Quotation Template'!F38</f>
        <v>0</v>
      </c>
      <c r="G39" s="896">
        <f>'TFG Quotation Template'!I38</f>
        <v>0</v>
      </c>
      <c r="H39" s="897">
        <f>'TFG Quotation Template'!J38</f>
        <v>0</v>
      </c>
      <c r="I39" s="898">
        <f>IF('TFG Quotation Template'!$D$7='TFG Quotation Template'!$R$12,'TFG Quotation Template'!R38+'TFG Quotation Template'!W38,IF('TFG Quotation Template'!$D$7='TFG Quotation Template'!$S$12,'TFG Quotation Template'!S38+'TFG Quotation Template'!X38,IF('TFG Quotation Template'!$D$7='TFG Quotation Template'!$T$12,'TFG Quotation Template'!T38+'TFG Quotation Template'!Y38,'TFG Quotation Template'!U38+'TFG Quotation Template'!Z38)))</f>
        <v>0</v>
      </c>
      <c r="J39" s="930"/>
      <c r="K39" s="930"/>
      <c r="L39" s="930"/>
      <c r="M39" s="930"/>
      <c r="N39" s="930"/>
      <c r="O39" s="930"/>
      <c r="P39" s="930"/>
      <c r="Q39" s="931"/>
      <c r="R39" s="942"/>
      <c r="S39" s="938"/>
    </row>
    <row r="40" spans="1:19" ht="15" x14ac:dyDescent="0.25">
      <c r="A40" s="938"/>
      <c r="B40" s="920"/>
      <c r="C40" s="923"/>
      <c r="D40" s="895">
        <f>'TFG Quotation Template'!C39</f>
        <v>0</v>
      </c>
      <c r="E40" s="896">
        <f>'TFG Quotation Template'!D39</f>
        <v>0</v>
      </c>
      <c r="F40" s="896">
        <f>'TFG Quotation Template'!F39</f>
        <v>0</v>
      </c>
      <c r="G40" s="896">
        <f>'TFG Quotation Template'!I39</f>
        <v>0</v>
      </c>
      <c r="H40" s="897">
        <f>'TFG Quotation Template'!J39</f>
        <v>0</v>
      </c>
      <c r="I40" s="898">
        <f>IF('TFG Quotation Template'!$D$7='TFG Quotation Template'!$R$12,'TFG Quotation Template'!R39+'TFG Quotation Template'!W39,IF('TFG Quotation Template'!$D$7='TFG Quotation Template'!$S$12,'TFG Quotation Template'!S39+'TFG Quotation Template'!X39,IF('TFG Quotation Template'!$D$7='TFG Quotation Template'!$T$12,'TFG Quotation Template'!T39+'TFG Quotation Template'!Y39,'TFG Quotation Template'!U39+'TFG Quotation Template'!Z39)))</f>
        <v>0</v>
      </c>
      <c r="J40" s="930"/>
      <c r="K40" s="930"/>
      <c r="L40" s="930"/>
      <c r="M40" s="930"/>
      <c r="N40" s="930"/>
      <c r="O40" s="930"/>
      <c r="P40" s="930"/>
      <c r="Q40" s="931"/>
      <c r="R40" s="942"/>
      <c r="S40" s="938"/>
    </row>
    <row r="41" spans="1:19" ht="15" x14ac:dyDescent="0.25">
      <c r="A41" s="938"/>
      <c r="B41" s="920"/>
      <c r="C41" s="923"/>
      <c r="D41" s="895">
        <f>'TFG Quotation Template'!C40</f>
        <v>0</v>
      </c>
      <c r="E41" s="896">
        <f>'TFG Quotation Template'!D40</f>
        <v>0</v>
      </c>
      <c r="F41" s="896">
        <f>'TFG Quotation Template'!F40</f>
        <v>0</v>
      </c>
      <c r="G41" s="896">
        <f>'TFG Quotation Template'!I40</f>
        <v>0</v>
      </c>
      <c r="H41" s="897">
        <f>'TFG Quotation Template'!J40</f>
        <v>0</v>
      </c>
      <c r="I41" s="898">
        <f>IF('TFG Quotation Template'!$D$7='TFG Quotation Template'!$R$12,'TFG Quotation Template'!R40+'TFG Quotation Template'!W40,IF('TFG Quotation Template'!$D$7='TFG Quotation Template'!$S$12,'TFG Quotation Template'!S40+'TFG Quotation Template'!X40,IF('TFG Quotation Template'!$D$7='TFG Quotation Template'!$T$12,'TFG Quotation Template'!T40+'TFG Quotation Template'!Y40,'TFG Quotation Template'!U40+'TFG Quotation Template'!Z40)))</f>
        <v>0</v>
      </c>
      <c r="J41" s="930"/>
      <c r="K41" s="930"/>
      <c r="L41" s="930"/>
      <c r="M41" s="930"/>
      <c r="N41" s="930"/>
      <c r="O41" s="930"/>
      <c r="P41" s="930"/>
      <c r="Q41" s="931"/>
      <c r="R41" s="942"/>
      <c r="S41" s="938"/>
    </row>
    <row r="42" spans="1:19" ht="15" x14ac:dyDescent="0.25">
      <c r="A42" s="938"/>
      <c r="B42" s="920"/>
      <c r="C42" s="923"/>
      <c r="D42" s="895">
        <f>'TFG Quotation Template'!C41</f>
        <v>0</v>
      </c>
      <c r="E42" s="896">
        <f>'TFG Quotation Template'!D41</f>
        <v>0</v>
      </c>
      <c r="F42" s="896">
        <f>'TFG Quotation Template'!F41</f>
        <v>0</v>
      </c>
      <c r="G42" s="896">
        <f>'TFG Quotation Template'!I41</f>
        <v>0</v>
      </c>
      <c r="H42" s="897">
        <f>'TFG Quotation Template'!J41</f>
        <v>0</v>
      </c>
      <c r="I42" s="898">
        <f>IF('TFG Quotation Template'!$D$7='TFG Quotation Template'!$R$12,'TFG Quotation Template'!R41+'TFG Quotation Template'!W41,IF('TFG Quotation Template'!$D$7='TFG Quotation Template'!$S$12,'TFG Quotation Template'!S41+'TFG Quotation Template'!X41,IF('TFG Quotation Template'!$D$7='TFG Quotation Template'!$T$12,'TFG Quotation Template'!T41+'TFG Quotation Template'!Y41,'TFG Quotation Template'!U41+'TFG Quotation Template'!Z41)))</f>
        <v>0</v>
      </c>
      <c r="J42" s="930"/>
      <c r="K42" s="930"/>
      <c r="L42" s="930"/>
      <c r="M42" s="930"/>
      <c r="N42" s="930"/>
      <c r="O42" s="930"/>
      <c r="P42" s="930"/>
      <c r="Q42" s="931"/>
      <c r="R42" s="942"/>
      <c r="S42" s="938"/>
    </row>
    <row r="43" spans="1:19" ht="15" x14ac:dyDescent="0.25">
      <c r="A43" s="938"/>
      <c r="B43" s="920"/>
      <c r="C43" s="923"/>
      <c r="D43" s="895">
        <f>'TFG Quotation Template'!C42</f>
        <v>0</v>
      </c>
      <c r="E43" s="896">
        <f>'TFG Quotation Template'!D42</f>
        <v>0</v>
      </c>
      <c r="F43" s="896">
        <f>'TFG Quotation Template'!F42</f>
        <v>0</v>
      </c>
      <c r="G43" s="896">
        <f>'TFG Quotation Template'!I42</f>
        <v>0</v>
      </c>
      <c r="H43" s="897">
        <f>'TFG Quotation Template'!J42</f>
        <v>0</v>
      </c>
      <c r="I43" s="898">
        <f>IF('TFG Quotation Template'!$D$7='TFG Quotation Template'!$R$12,'TFG Quotation Template'!R42+'TFG Quotation Template'!W42,IF('TFG Quotation Template'!$D$7='TFG Quotation Template'!$S$12,'TFG Quotation Template'!S42+'TFG Quotation Template'!X42,IF('TFG Quotation Template'!$D$7='TFG Quotation Template'!$T$12,'TFG Quotation Template'!T42+'TFG Quotation Template'!Y42,'TFG Quotation Template'!U42+'TFG Quotation Template'!Z42)))</f>
        <v>0</v>
      </c>
      <c r="J43" s="930"/>
      <c r="K43" s="930"/>
      <c r="L43" s="930"/>
      <c r="M43" s="930"/>
      <c r="N43" s="930"/>
      <c r="O43" s="930"/>
      <c r="P43" s="930"/>
      <c r="Q43" s="931"/>
      <c r="R43" s="942"/>
      <c r="S43" s="938"/>
    </row>
    <row r="44" spans="1:19" ht="15" x14ac:dyDescent="0.25">
      <c r="A44" s="938"/>
      <c r="B44" s="920"/>
      <c r="C44" s="923"/>
      <c r="D44" s="895">
        <f>'TFG Quotation Template'!C43</f>
        <v>0</v>
      </c>
      <c r="E44" s="896">
        <f>'TFG Quotation Template'!D43</f>
        <v>0</v>
      </c>
      <c r="F44" s="896">
        <f>'TFG Quotation Template'!F43</f>
        <v>0</v>
      </c>
      <c r="G44" s="896">
        <f>'TFG Quotation Template'!I43</f>
        <v>0</v>
      </c>
      <c r="H44" s="897">
        <f>'TFG Quotation Template'!J43</f>
        <v>0</v>
      </c>
      <c r="I44" s="898">
        <f>IF('TFG Quotation Template'!$D$7='TFG Quotation Template'!$R$12,'TFG Quotation Template'!R43+'TFG Quotation Template'!W43,IF('TFG Quotation Template'!$D$7='TFG Quotation Template'!$S$12,'TFG Quotation Template'!S43+'TFG Quotation Template'!X43,IF('TFG Quotation Template'!$D$7='TFG Quotation Template'!$T$12,'TFG Quotation Template'!T43+'TFG Quotation Template'!Y43,'TFG Quotation Template'!U43+'TFG Quotation Template'!Z43)))</f>
        <v>0</v>
      </c>
      <c r="J44" s="930"/>
      <c r="K44" s="930"/>
      <c r="L44" s="930"/>
      <c r="M44" s="930"/>
      <c r="N44" s="930"/>
      <c r="O44" s="930"/>
      <c r="P44" s="930"/>
      <c r="Q44" s="931"/>
      <c r="R44" s="942"/>
      <c r="S44" s="938"/>
    </row>
    <row r="45" spans="1:19" ht="15" x14ac:dyDescent="0.25">
      <c r="A45" s="938"/>
      <c r="B45" s="920"/>
      <c r="C45" s="923"/>
      <c r="D45" s="892"/>
      <c r="E45" s="892"/>
      <c r="F45" s="1065" t="s">
        <v>623</v>
      </c>
      <c r="G45" s="1065"/>
      <c r="H45" s="1066"/>
      <c r="I45" s="899">
        <f>SUM(I15:I42)</f>
        <v>6877.067500000001</v>
      </c>
      <c r="J45" s="930"/>
      <c r="K45" s="930"/>
      <c r="L45" s="930"/>
      <c r="M45" s="930"/>
      <c r="N45" s="930"/>
      <c r="O45" s="930"/>
      <c r="P45" s="930"/>
      <c r="Q45" s="931"/>
      <c r="R45" s="942"/>
      <c r="S45" s="938"/>
    </row>
    <row r="46" spans="1:19" ht="15" x14ac:dyDescent="0.25">
      <c r="A46" s="938"/>
      <c r="B46" s="920"/>
      <c r="C46" s="923"/>
      <c r="D46" s="892"/>
      <c r="E46" s="892"/>
      <c r="F46" s="892"/>
      <c r="G46" s="892"/>
      <c r="H46" s="892"/>
      <c r="I46" s="892"/>
      <c r="J46" s="930"/>
      <c r="K46" s="930"/>
      <c r="L46" s="930"/>
      <c r="M46" s="930"/>
      <c r="N46" s="930"/>
      <c r="O46" s="930"/>
      <c r="P46" s="930"/>
      <c r="Q46" s="923"/>
      <c r="R46" s="942"/>
      <c r="S46" s="938"/>
    </row>
    <row r="47" spans="1:19" ht="15" x14ac:dyDescent="0.25">
      <c r="A47" s="938"/>
      <c r="B47" s="920"/>
      <c r="C47" s="923"/>
      <c r="D47" s="1061" t="s">
        <v>547</v>
      </c>
      <c r="E47" s="1061"/>
      <c r="F47" s="892"/>
      <c r="G47" s="892"/>
      <c r="H47" s="892"/>
      <c r="I47" s="892"/>
      <c r="J47" s="930"/>
      <c r="K47" s="930"/>
      <c r="L47" s="930"/>
      <c r="M47" s="930"/>
      <c r="N47" s="930"/>
      <c r="O47" s="930"/>
      <c r="P47" s="930"/>
      <c r="Q47" s="923"/>
      <c r="R47" s="942"/>
      <c r="S47" s="938"/>
    </row>
    <row r="48" spans="1:19" ht="15" x14ac:dyDescent="0.25">
      <c r="A48" s="938"/>
      <c r="B48" s="920"/>
      <c r="C48" s="923"/>
      <c r="D48" s="896" t="s">
        <v>546</v>
      </c>
      <c r="E48" s="896"/>
      <c r="F48" s="896"/>
      <c r="G48" s="896"/>
      <c r="H48" s="896"/>
      <c r="I48" s="900">
        <f>'TFG Quotation Template'!H66</f>
        <v>1073.7878787878788</v>
      </c>
      <c r="J48" s="930"/>
      <c r="K48" s="930"/>
      <c r="L48" s="930"/>
      <c r="M48" s="930"/>
      <c r="N48" s="930"/>
      <c r="O48" s="930"/>
      <c r="P48" s="930"/>
      <c r="Q48" s="931"/>
      <c r="R48" s="942"/>
      <c r="S48" s="938"/>
    </row>
    <row r="49" spans="1:19" ht="15" x14ac:dyDescent="0.25">
      <c r="A49" s="938"/>
      <c r="B49" s="920"/>
      <c r="C49" s="923"/>
      <c r="D49" s="896" t="s">
        <v>622</v>
      </c>
      <c r="E49" s="896"/>
      <c r="F49" s="896"/>
      <c r="G49" s="896"/>
      <c r="H49" s="896"/>
      <c r="I49" s="900">
        <f>'TFG Quotation Template'!H81</f>
        <v>103.125</v>
      </c>
      <c r="J49" s="930"/>
      <c r="K49" s="930"/>
      <c r="L49" s="930"/>
      <c r="M49" s="930"/>
      <c r="N49" s="930"/>
      <c r="O49" s="930"/>
      <c r="P49" s="930"/>
      <c r="Q49" s="931"/>
      <c r="R49" s="942"/>
      <c r="S49" s="938"/>
    </row>
    <row r="50" spans="1:19" ht="15" x14ac:dyDescent="0.25">
      <c r="A50" s="938"/>
      <c r="B50" s="920"/>
      <c r="C50" s="923"/>
      <c r="D50" s="896" t="s">
        <v>578</v>
      </c>
      <c r="E50" s="896"/>
      <c r="F50" s="896"/>
      <c r="G50" s="896"/>
      <c r="H50" s="896"/>
      <c r="I50" s="900">
        <f>'TFG Quotation Template'!I87</f>
        <v>0</v>
      </c>
      <c r="J50" s="930"/>
      <c r="K50" s="930"/>
      <c r="L50" s="930"/>
      <c r="M50" s="930"/>
      <c r="N50" s="930"/>
      <c r="O50" s="930"/>
      <c r="P50" s="930"/>
      <c r="Q50" s="931"/>
      <c r="R50" s="942"/>
      <c r="S50" s="938"/>
    </row>
    <row r="51" spans="1:19" ht="15" x14ac:dyDescent="0.25">
      <c r="A51" s="938"/>
      <c r="B51" s="920"/>
      <c r="C51" s="923"/>
      <c r="D51" s="892"/>
      <c r="E51" s="892"/>
      <c r="F51" s="1065" t="s">
        <v>570</v>
      </c>
      <c r="G51" s="1065"/>
      <c r="H51" s="1066"/>
      <c r="I51" s="899">
        <f>SUM(I48:I50)</f>
        <v>1176.9128787878788</v>
      </c>
      <c r="J51" s="930"/>
      <c r="K51" s="930"/>
      <c r="L51" s="930"/>
      <c r="M51" s="930"/>
      <c r="N51" s="930"/>
      <c r="O51" s="930"/>
      <c r="P51" s="930"/>
      <c r="Q51" s="923"/>
      <c r="R51" s="942"/>
      <c r="S51" s="938"/>
    </row>
    <row r="52" spans="1:19" ht="15" x14ac:dyDescent="0.25">
      <c r="A52" s="938"/>
      <c r="B52" s="920"/>
      <c r="C52" s="923"/>
      <c r="D52" s="892"/>
      <c r="E52" s="892"/>
      <c r="F52" s="892"/>
      <c r="G52" s="892"/>
      <c r="H52" s="892"/>
      <c r="I52" s="892"/>
      <c r="J52" s="930"/>
      <c r="K52" s="930"/>
      <c r="L52" s="930"/>
      <c r="M52" s="930"/>
      <c r="N52" s="930"/>
      <c r="O52" s="930"/>
      <c r="P52" s="930"/>
      <c r="Q52" s="923"/>
      <c r="R52" s="942"/>
      <c r="S52" s="938"/>
    </row>
    <row r="53" spans="1:19" ht="15" x14ac:dyDescent="0.25">
      <c r="A53" s="938"/>
      <c r="B53" s="920"/>
      <c r="C53" s="923"/>
      <c r="D53" s="1059" t="s">
        <v>593</v>
      </c>
      <c r="E53" s="1060"/>
      <c r="F53" s="892"/>
      <c r="G53" s="892"/>
      <c r="H53" s="892"/>
      <c r="I53" s="892"/>
      <c r="J53" s="930"/>
      <c r="K53" s="930"/>
      <c r="L53" s="930"/>
      <c r="M53" s="930"/>
      <c r="N53" s="930"/>
      <c r="O53" s="930"/>
      <c r="P53" s="930"/>
      <c r="Q53" s="923"/>
      <c r="R53" s="942"/>
      <c r="S53" s="938"/>
    </row>
    <row r="54" spans="1:19" ht="15" x14ac:dyDescent="0.25">
      <c r="A54" s="938"/>
      <c r="B54" s="920"/>
      <c r="C54" s="923"/>
      <c r="D54" s="1067" t="s">
        <v>607</v>
      </c>
      <c r="E54" s="1068"/>
      <c r="F54" s="896"/>
      <c r="G54" s="896"/>
      <c r="H54" s="896"/>
      <c r="I54" s="900">
        <f>'TFG Quotation Template'!H100</f>
        <v>0</v>
      </c>
      <c r="J54" s="930"/>
      <c r="K54" s="930"/>
      <c r="L54" s="930"/>
      <c r="M54" s="930"/>
      <c r="N54" s="930"/>
      <c r="O54" s="930"/>
      <c r="P54" s="930"/>
      <c r="Q54" s="923"/>
      <c r="R54" s="942"/>
      <c r="S54" s="938"/>
    </row>
    <row r="55" spans="1:19" ht="15" x14ac:dyDescent="0.25">
      <c r="A55" s="938"/>
      <c r="B55" s="920"/>
      <c r="C55" s="923"/>
      <c r="D55" s="892"/>
      <c r="E55" s="892"/>
      <c r="F55" s="1065" t="s">
        <v>606</v>
      </c>
      <c r="G55" s="1065"/>
      <c r="H55" s="1066"/>
      <c r="I55" s="899">
        <f>SUM(I54)</f>
        <v>0</v>
      </c>
      <c r="J55" s="930"/>
      <c r="K55" s="930"/>
      <c r="L55" s="930"/>
      <c r="M55" s="930"/>
      <c r="N55" s="930"/>
      <c r="O55" s="930"/>
      <c r="P55" s="930"/>
      <c r="Q55" s="923"/>
      <c r="R55" s="942"/>
      <c r="S55" s="938"/>
    </row>
    <row r="56" spans="1:19" ht="15" x14ac:dyDescent="0.25">
      <c r="A56" s="938"/>
      <c r="B56" s="920"/>
      <c r="C56" s="923"/>
      <c r="D56" s="892"/>
      <c r="E56" s="892"/>
      <c r="F56" s="892"/>
      <c r="G56" s="892"/>
      <c r="H56" s="892"/>
      <c r="I56" s="892"/>
      <c r="J56" s="930"/>
      <c r="K56" s="930"/>
      <c r="L56" s="930"/>
      <c r="M56" s="930"/>
      <c r="N56" s="930"/>
      <c r="O56" s="930"/>
      <c r="P56" s="930"/>
      <c r="Q56" s="923"/>
      <c r="R56" s="942"/>
      <c r="S56" s="938"/>
    </row>
    <row r="57" spans="1:19" ht="15" x14ac:dyDescent="0.25">
      <c r="A57" s="938"/>
      <c r="B57" s="920"/>
      <c r="C57" s="923"/>
      <c r="D57" s="1059" t="s">
        <v>579</v>
      </c>
      <c r="E57" s="1060"/>
      <c r="F57" s="892"/>
      <c r="G57" s="892"/>
      <c r="H57" s="892"/>
      <c r="I57" s="892"/>
      <c r="J57" s="930"/>
      <c r="K57" s="930"/>
      <c r="L57" s="930"/>
      <c r="M57" s="930"/>
      <c r="N57" s="930"/>
      <c r="O57" s="930"/>
      <c r="P57" s="930"/>
      <c r="Q57" s="923"/>
      <c r="R57" s="942"/>
      <c r="S57" s="938"/>
    </row>
    <row r="58" spans="1:19" ht="15" x14ac:dyDescent="0.25">
      <c r="A58" s="938"/>
      <c r="B58" s="920"/>
      <c r="C58" s="923"/>
      <c r="D58" s="896" t="s">
        <v>580</v>
      </c>
      <c r="E58" s="896"/>
      <c r="F58" s="896"/>
      <c r="G58" s="896"/>
      <c r="H58" s="896"/>
      <c r="I58" s="901">
        <f>'TFG Quotation Template'!H125</f>
        <v>415.8</v>
      </c>
      <c r="J58" s="930"/>
      <c r="K58" s="930"/>
      <c r="L58" s="930"/>
      <c r="M58" s="930"/>
      <c r="N58" s="930"/>
      <c r="O58" s="930"/>
      <c r="P58" s="930"/>
      <c r="Q58" s="923"/>
      <c r="R58" s="942"/>
      <c r="S58" s="938"/>
    </row>
    <row r="59" spans="1:19" ht="15" x14ac:dyDescent="0.25">
      <c r="A59" s="938"/>
      <c r="B59" s="920"/>
      <c r="C59" s="923"/>
      <c r="D59" s="896" t="s">
        <v>581</v>
      </c>
      <c r="E59" s="896"/>
      <c r="F59" s="896"/>
      <c r="G59" s="896"/>
      <c r="H59" s="896"/>
      <c r="I59" s="901">
        <f>'TFG Quotation Template'!H146</f>
        <v>0</v>
      </c>
      <c r="J59" s="930"/>
      <c r="K59" s="930"/>
      <c r="L59" s="930"/>
      <c r="M59" s="930"/>
      <c r="N59" s="930"/>
      <c r="O59" s="930"/>
      <c r="P59" s="930"/>
      <c r="Q59" s="931"/>
      <c r="R59" s="942"/>
      <c r="S59" s="938"/>
    </row>
    <row r="60" spans="1:19" ht="15" x14ac:dyDescent="0.25">
      <c r="A60" s="938"/>
      <c r="B60" s="920"/>
      <c r="C60" s="923"/>
      <c r="D60" s="892"/>
      <c r="E60" s="892"/>
      <c r="F60" s="1065" t="s">
        <v>591</v>
      </c>
      <c r="G60" s="1065"/>
      <c r="H60" s="1066"/>
      <c r="I60" s="899">
        <f>SUM(I58:I59)</f>
        <v>415.8</v>
      </c>
      <c r="J60" s="930"/>
      <c r="K60" s="930"/>
      <c r="L60" s="930"/>
      <c r="M60" s="930"/>
      <c r="N60" s="930"/>
      <c r="O60" s="930"/>
      <c r="P60" s="930"/>
      <c r="Q60" s="931"/>
      <c r="R60" s="942"/>
      <c r="S60" s="938"/>
    </row>
    <row r="61" spans="1:19" ht="15" x14ac:dyDescent="0.25">
      <c r="A61" s="938"/>
      <c r="B61" s="920"/>
      <c r="C61" s="923"/>
      <c r="D61" s="892"/>
      <c r="E61" s="892"/>
      <c r="F61" s="892"/>
      <c r="G61" s="892"/>
      <c r="H61" s="892"/>
      <c r="I61" s="892"/>
      <c r="J61" s="930"/>
      <c r="K61" s="930"/>
      <c r="L61" s="930"/>
      <c r="M61" s="930"/>
      <c r="N61" s="930"/>
      <c r="O61" s="930"/>
      <c r="P61" s="930"/>
      <c r="Q61" s="923"/>
      <c r="R61" s="942"/>
      <c r="S61" s="938"/>
    </row>
    <row r="62" spans="1:19" ht="15" x14ac:dyDescent="0.25">
      <c r="A62" s="938"/>
      <c r="B62" s="920"/>
      <c r="C62" s="923"/>
      <c r="D62" s="1059" t="s">
        <v>484</v>
      </c>
      <c r="E62" s="1060"/>
      <c r="F62" s="892"/>
      <c r="G62" s="892"/>
      <c r="H62" s="892"/>
      <c r="I62" s="892"/>
      <c r="J62" s="930"/>
      <c r="K62" s="930"/>
      <c r="L62" s="930"/>
      <c r="M62" s="930"/>
      <c r="N62" s="930"/>
      <c r="O62" s="930"/>
      <c r="P62" s="930"/>
      <c r="Q62" s="923"/>
      <c r="R62" s="942"/>
      <c r="S62" s="938"/>
    </row>
    <row r="63" spans="1:19" ht="15" x14ac:dyDescent="0.25">
      <c r="A63" s="938"/>
      <c r="B63" s="920"/>
      <c r="C63" s="923"/>
      <c r="D63" s="896" t="str">
        <f>'TFG Quotation Template'!D169</f>
        <v>Sector &amp; Details</v>
      </c>
      <c r="E63" s="896"/>
      <c r="F63" s="896"/>
      <c r="G63" s="896"/>
      <c r="H63" s="896"/>
      <c r="I63" s="900">
        <f>'TFG Quotation Template'!H169</f>
        <v>0</v>
      </c>
      <c r="J63" s="930"/>
      <c r="K63" s="930"/>
      <c r="L63" s="930"/>
      <c r="M63" s="930"/>
      <c r="N63" s="930"/>
      <c r="O63" s="930"/>
      <c r="P63" s="930"/>
      <c r="Q63" s="932"/>
      <c r="R63" s="942"/>
      <c r="S63" s="938"/>
    </row>
    <row r="64" spans="1:19" ht="15" x14ac:dyDescent="0.25">
      <c r="A64" s="938"/>
      <c r="B64" s="920"/>
      <c r="C64" s="923"/>
      <c r="D64" s="892"/>
      <c r="E64" s="902"/>
      <c r="F64" s="1065" t="s">
        <v>571</v>
      </c>
      <c r="G64" s="1065"/>
      <c r="H64" s="1066"/>
      <c r="I64" s="899">
        <f>SUM(I63)</f>
        <v>0</v>
      </c>
      <c r="J64" s="930"/>
      <c r="K64" s="930"/>
      <c r="L64" s="930"/>
      <c r="M64" s="930"/>
      <c r="N64" s="930"/>
      <c r="O64" s="930"/>
      <c r="P64" s="930"/>
      <c r="Q64" s="932"/>
      <c r="R64" s="942"/>
      <c r="S64" s="938"/>
    </row>
    <row r="65" spans="1:19" ht="15" x14ac:dyDescent="0.25">
      <c r="A65" s="938"/>
      <c r="B65" s="920"/>
      <c r="C65" s="923"/>
      <c r="D65" s="892"/>
      <c r="E65" s="892"/>
      <c r="F65" s="903"/>
      <c r="G65" s="903"/>
      <c r="H65" s="903"/>
      <c r="I65" s="904"/>
      <c r="J65" s="930"/>
      <c r="K65" s="930"/>
      <c r="L65" s="930"/>
      <c r="M65" s="930"/>
      <c r="N65" s="930"/>
      <c r="O65" s="930"/>
      <c r="P65" s="930"/>
      <c r="Q65" s="932"/>
      <c r="R65" s="942"/>
      <c r="S65" s="938"/>
    </row>
    <row r="66" spans="1:19" ht="15" x14ac:dyDescent="0.25">
      <c r="A66" s="938"/>
      <c r="B66" s="920"/>
      <c r="C66" s="923"/>
      <c r="D66" s="892"/>
      <c r="E66" s="892"/>
      <c r="F66" s="892"/>
      <c r="G66" s="892"/>
      <c r="H66" s="892"/>
      <c r="I66" s="905"/>
      <c r="J66" s="930"/>
      <c r="K66" s="930"/>
      <c r="L66" s="930"/>
      <c r="M66" s="930"/>
      <c r="N66" s="930"/>
      <c r="O66" s="930"/>
      <c r="P66" s="930"/>
      <c r="Q66" s="932"/>
      <c r="R66" s="942"/>
      <c r="S66" s="938"/>
    </row>
    <row r="67" spans="1:19" ht="15" x14ac:dyDescent="0.25">
      <c r="A67" s="938"/>
      <c r="B67" s="920"/>
      <c r="C67" s="923"/>
      <c r="D67" s="1059" t="s">
        <v>582</v>
      </c>
      <c r="E67" s="1060"/>
      <c r="F67" s="892"/>
      <c r="G67" s="892"/>
      <c r="H67" s="892"/>
      <c r="I67" s="905"/>
      <c r="J67" s="930"/>
      <c r="K67" s="930"/>
      <c r="L67" s="930"/>
      <c r="M67" s="930"/>
      <c r="N67" s="930"/>
      <c r="O67" s="930"/>
      <c r="P67" s="930"/>
      <c r="Q67" s="932"/>
      <c r="R67" s="942"/>
      <c r="S67" s="938"/>
    </row>
    <row r="68" spans="1:19" ht="15" x14ac:dyDescent="0.25">
      <c r="A68" s="938"/>
      <c r="B68" s="920"/>
      <c r="C68" s="923"/>
      <c r="D68" s="1067" t="s">
        <v>583</v>
      </c>
      <c r="E68" s="1068"/>
      <c r="F68" s="896"/>
      <c r="G68" s="896"/>
      <c r="H68" s="896"/>
      <c r="I68" s="900">
        <f>'TFG Quotation Template'!E200+'TFG Quotation Template'!E198+'TFG Quotation Template'!E193</f>
        <v>-50.39034060606059</v>
      </c>
      <c r="J68" s="930"/>
      <c r="K68" s="512"/>
      <c r="L68" s="930"/>
      <c r="M68" s="930"/>
      <c r="N68" s="930"/>
      <c r="O68" s="930"/>
      <c r="P68" s="930"/>
      <c r="Q68" s="932"/>
      <c r="R68" s="942"/>
      <c r="S68" s="938"/>
    </row>
    <row r="69" spans="1:19" ht="15" x14ac:dyDescent="0.25">
      <c r="A69" s="938"/>
      <c r="B69" s="920"/>
      <c r="C69" s="923"/>
      <c r="D69" s="892"/>
      <c r="E69" s="892"/>
      <c r="F69" s="1065" t="s">
        <v>584</v>
      </c>
      <c r="G69" s="1065"/>
      <c r="H69" s="1066"/>
      <c r="I69" s="899">
        <f>SUM(I68:I68)</f>
        <v>-50.39034060606059</v>
      </c>
      <c r="J69" s="930"/>
      <c r="K69" s="930"/>
      <c r="L69" s="930"/>
      <c r="M69" s="930"/>
      <c r="N69" s="930"/>
      <c r="O69" s="930"/>
      <c r="P69" s="930"/>
      <c r="Q69" s="923"/>
      <c r="R69" s="942"/>
      <c r="S69" s="938"/>
    </row>
    <row r="70" spans="1:19" ht="15" x14ac:dyDescent="0.25">
      <c r="A70" s="938"/>
      <c r="B70" s="920"/>
      <c r="C70" s="923"/>
      <c r="D70" s="892"/>
      <c r="E70" s="892"/>
      <c r="F70" s="892"/>
      <c r="G70" s="892"/>
      <c r="H70" s="892"/>
      <c r="I70" s="892"/>
      <c r="J70" s="930"/>
      <c r="K70" s="930"/>
      <c r="L70" s="930"/>
      <c r="M70" s="930"/>
      <c r="N70" s="930"/>
      <c r="O70" s="930"/>
      <c r="P70" s="930"/>
      <c r="Q70" s="923"/>
      <c r="R70" s="942"/>
      <c r="S70" s="938"/>
    </row>
    <row r="71" spans="1:19" ht="15" x14ac:dyDescent="0.25">
      <c r="A71" s="938"/>
      <c r="B71" s="920"/>
      <c r="C71" s="923"/>
      <c r="D71" s="892"/>
      <c r="E71" s="892"/>
      <c r="F71" s="892"/>
      <c r="G71" s="892"/>
      <c r="H71" s="892"/>
      <c r="I71" s="892"/>
      <c r="J71" s="930"/>
      <c r="K71" s="930"/>
      <c r="L71" s="930"/>
      <c r="M71" s="930"/>
      <c r="N71" s="930"/>
      <c r="O71" s="930"/>
      <c r="P71" s="930"/>
      <c r="Q71" s="923"/>
      <c r="R71" s="942"/>
      <c r="S71" s="938"/>
    </row>
    <row r="72" spans="1:19" ht="15" x14ac:dyDescent="0.25">
      <c r="A72" s="938"/>
      <c r="B72" s="920"/>
      <c r="C72" s="923"/>
      <c r="D72" s="892"/>
      <c r="E72" s="892"/>
      <c r="F72" s="913"/>
      <c r="G72" s="892"/>
      <c r="H72" s="933" t="s">
        <v>560</v>
      </c>
      <c r="I72" s="934">
        <f>I45+I51+I60+I64+I69+I55</f>
        <v>8419.3900381818203</v>
      </c>
      <c r="J72" s="930"/>
      <c r="K72" s="930"/>
      <c r="L72" s="930"/>
      <c r="M72" s="930"/>
      <c r="N72" s="930"/>
      <c r="O72" s="930"/>
      <c r="P72" s="930"/>
      <c r="Q72" s="931"/>
      <c r="R72" s="942"/>
      <c r="S72" s="938"/>
    </row>
    <row r="73" spans="1:19" ht="15" x14ac:dyDescent="0.2">
      <c r="A73" s="938"/>
      <c r="B73" s="920"/>
      <c r="C73" s="923"/>
      <c r="D73" s="923"/>
      <c r="E73" s="923"/>
      <c r="F73" s="923"/>
      <c r="G73" s="923"/>
      <c r="H73" s="923"/>
      <c r="I73" s="923"/>
      <c r="J73" s="930"/>
      <c r="K73" s="930"/>
      <c r="L73" s="930"/>
      <c r="M73" s="930"/>
      <c r="N73" s="930"/>
      <c r="O73" s="930"/>
      <c r="P73" s="930"/>
      <c r="Q73" s="923"/>
      <c r="R73" s="942"/>
      <c r="S73" s="938"/>
    </row>
    <row r="74" spans="1:19" x14ac:dyDescent="0.2">
      <c r="A74" s="938"/>
      <c r="B74" s="920"/>
      <c r="C74" s="923"/>
      <c r="D74" s="923"/>
      <c r="E74" s="923"/>
      <c r="F74" s="923"/>
      <c r="G74" s="923"/>
      <c r="H74" s="923"/>
      <c r="I74" s="923"/>
      <c r="J74" s="923"/>
      <c r="K74" s="923"/>
      <c r="L74" s="923"/>
      <c r="M74" s="923"/>
      <c r="N74" s="923"/>
      <c r="O74" s="923"/>
      <c r="P74" s="923"/>
      <c r="Q74" s="923"/>
      <c r="R74" s="942"/>
      <c r="S74" s="938"/>
    </row>
    <row r="75" spans="1:19" ht="5.25" customHeight="1" thickBot="1" x14ac:dyDescent="0.25">
      <c r="B75" s="935"/>
      <c r="C75" s="936"/>
      <c r="D75" s="936"/>
      <c r="E75" s="936"/>
      <c r="F75" s="936"/>
      <c r="G75" s="936"/>
      <c r="H75" s="936"/>
      <c r="I75" s="936"/>
      <c r="J75" s="936"/>
      <c r="K75" s="936"/>
      <c r="L75" s="936"/>
      <c r="M75" s="936"/>
      <c r="N75" s="936"/>
      <c r="O75" s="936"/>
      <c r="P75" s="936"/>
      <c r="Q75" s="936"/>
      <c r="R75" s="947"/>
      <c r="S75" s="938"/>
    </row>
    <row r="76" spans="1:19" x14ac:dyDescent="0.2">
      <c r="B76" s="916"/>
      <c r="C76" s="916"/>
      <c r="D76" s="916"/>
      <c r="E76" s="916"/>
      <c r="F76" s="916"/>
      <c r="G76" s="916"/>
      <c r="H76" s="916"/>
      <c r="I76" s="916"/>
      <c r="J76" s="916"/>
      <c r="K76" s="916"/>
      <c r="L76" s="916"/>
      <c r="M76" s="916"/>
      <c r="N76" s="916"/>
      <c r="O76" s="916"/>
      <c r="P76" s="916"/>
      <c r="Q76" s="916"/>
      <c r="S76" s="938"/>
    </row>
    <row r="77" spans="1:19" x14ac:dyDescent="0.2">
      <c r="I77" s="948">
        <f>'TFG Quotation Template'!E201</f>
        <v>8419.3900381818185</v>
      </c>
      <c r="J77" s="948"/>
      <c r="K77" s="948"/>
      <c r="L77" s="948"/>
      <c r="M77" s="948"/>
      <c r="N77" s="948"/>
      <c r="O77" s="948"/>
      <c r="P77" s="948"/>
      <c r="S77" s="949">
        <f>I77-I72</f>
        <v>0</v>
      </c>
    </row>
    <row r="78" spans="1:19" x14ac:dyDescent="0.2">
      <c r="S78" s="938"/>
    </row>
    <row r="79" spans="1:19" x14ac:dyDescent="0.2">
      <c r="I79" s="940" t="b">
        <f>I77=I72</f>
        <v>1</v>
      </c>
      <c r="S79" s="938"/>
    </row>
    <row r="80" spans="1:19" x14ac:dyDescent="0.2">
      <c r="S80" s="938"/>
    </row>
    <row r="81" spans="19:19" x14ac:dyDescent="0.2">
      <c r="S81" s="938"/>
    </row>
    <row r="82" spans="19:19" x14ac:dyDescent="0.2">
      <c r="S82" s="938"/>
    </row>
    <row r="83" spans="19:19" x14ac:dyDescent="0.2">
      <c r="S83" s="938"/>
    </row>
    <row r="84" spans="19:19" x14ac:dyDescent="0.2">
      <c r="S84" s="938"/>
    </row>
    <row r="85" spans="19:19" x14ac:dyDescent="0.2">
      <c r="S85" s="938"/>
    </row>
    <row r="86" spans="19:19" x14ac:dyDescent="0.2">
      <c r="S86" s="938"/>
    </row>
    <row r="87" spans="19:19" x14ac:dyDescent="0.2">
      <c r="S87" s="938"/>
    </row>
    <row r="88" spans="19:19" x14ac:dyDescent="0.2">
      <c r="S88" s="938"/>
    </row>
    <row r="89" spans="19:19" x14ac:dyDescent="0.2">
      <c r="S89" s="938"/>
    </row>
    <row r="90" spans="19:19" x14ac:dyDescent="0.2">
      <c r="S90" s="938"/>
    </row>
    <row r="91" spans="19:19" x14ac:dyDescent="0.2">
      <c r="S91" s="938"/>
    </row>
    <row r="92" spans="19:19" x14ac:dyDescent="0.2">
      <c r="S92" s="938"/>
    </row>
    <row r="93" spans="19:19" x14ac:dyDescent="0.2">
      <c r="S93" s="938"/>
    </row>
    <row r="94" spans="19:19" x14ac:dyDescent="0.2">
      <c r="S94" s="938"/>
    </row>
    <row r="95" spans="19:19" x14ac:dyDescent="0.2">
      <c r="S95" s="938"/>
    </row>
    <row r="96" spans="19:19" x14ac:dyDescent="0.2">
      <c r="S96" s="938"/>
    </row>
    <row r="97" spans="19:19" x14ac:dyDescent="0.2">
      <c r="S97" s="938"/>
    </row>
    <row r="98" spans="19:19" x14ac:dyDescent="0.2">
      <c r="S98" s="938"/>
    </row>
    <row r="99" spans="19:19" x14ac:dyDescent="0.2">
      <c r="S99" s="938"/>
    </row>
    <row r="100" spans="19:19" x14ac:dyDescent="0.2">
      <c r="S100" s="938"/>
    </row>
    <row r="101" spans="19:19" x14ac:dyDescent="0.2">
      <c r="S101" s="938"/>
    </row>
    <row r="102" spans="19:19" x14ac:dyDescent="0.2">
      <c r="S102" s="938"/>
    </row>
    <row r="103" spans="19:19" x14ac:dyDescent="0.2">
      <c r="S103" s="938"/>
    </row>
    <row r="104" spans="19:19" x14ac:dyDescent="0.2">
      <c r="S104" s="938"/>
    </row>
    <row r="105" spans="19:19" x14ac:dyDescent="0.2">
      <c r="S105" s="938"/>
    </row>
    <row r="106" spans="19:19" x14ac:dyDescent="0.2">
      <c r="S106" s="938"/>
    </row>
    <row r="107" spans="19:19" x14ac:dyDescent="0.2">
      <c r="S107" s="938"/>
    </row>
    <row r="108" spans="19:19" x14ac:dyDescent="0.2">
      <c r="S108" s="938"/>
    </row>
    <row r="109" spans="19:19" x14ac:dyDescent="0.2">
      <c r="S109" s="938"/>
    </row>
    <row r="110" spans="19:19" x14ac:dyDescent="0.2">
      <c r="S110" s="938"/>
    </row>
    <row r="111" spans="19:19" x14ac:dyDescent="0.2">
      <c r="S111" s="938"/>
    </row>
    <row r="112" spans="19:19" x14ac:dyDescent="0.2">
      <c r="S112" s="938"/>
    </row>
    <row r="113" spans="19:19" x14ac:dyDescent="0.2">
      <c r="S113" s="938"/>
    </row>
    <row r="114" spans="19:19" x14ac:dyDescent="0.2">
      <c r="S114" s="938"/>
    </row>
    <row r="115" spans="19:19" x14ac:dyDescent="0.2">
      <c r="S115" s="938"/>
    </row>
    <row r="116" spans="19:19" x14ac:dyDescent="0.2">
      <c r="S116" s="938"/>
    </row>
    <row r="117" spans="19:19" x14ac:dyDescent="0.2">
      <c r="S117" s="938"/>
    </row>
    <row r="118" spans="19:19" x14ac:dyDescent="0.2">
      <c r="S118" s="938"/>
    </row>
    <row r="119" spans="19:19" x14ac:dyDescent="0.2">
      <c r="S119" s="938"/>
    </row>
    <row r="120" spans="19:19" x14ac:dyDescent="0.2">
      <c r="S120" s="938"/>
    </row>
    <row r="121" spans="19:19" x14ac:dyDescent="0.2">
      <c r="S121" s="938"/>
    </row>
    <row r="122" spans="19:19" x14ac:dyDescent="0.2">
      <c r="S122" s="938"/>
    </row>
    <row r="123" spans="19:19" x14ac:dyDescent="0.2">
      <c r="S123" s="938"/>
    </row>
    <row r="124" spans="19:19" x14ac:dyDescent="0.2">
      <c r="S124" s="938"/>
    </row>
    <row r="125" spans="19:19" x14ac:dyDescent="0.2">
      <c r="S125" s="938"/>
    </row>
    <row r="126" spans="19:19" x14ac:dyDescent="0.2">
      <c r="S126" s="938"/>
    </row>
    <row r="127" spans="19:19" x14ac:dyDescent="0.2">
      <c r="S127" s="938"/>
    </row>
    <row r="128" spans="19:19" x14ac:dyDescent="0.2">
      <c r="S128" s="938"/>
    </row>
    <row r="129" spans="19:19" x14ac:dyDescent="0.2">
      <c r="S129" s="938"/>
    </row>
    <row r="130" spans="19:19" x14ac:dyDescent="0.2">
      <c r="S130" s="938"/>
    </row>
    <row r="131" spans="19:19" x14ac:dyDescent="0.2">
      <c r="S131" s="938"/>
    </row>
    <row r="132" spans="19:19" x14ac:dyDescent="0.2">
      <c r="S132" s="938"/>
    </row>
    <row r="133" spans="19:19" x14ac:dyDescent="0.2">
      <c r="S133" s="938"/>
    </row>
    <row r="134" spans="19:19" x14ac:dyDescent="0.2">
      <c r="S134" s="938"/>
    </row>
    <row r="135" spans="19:19" x14ac:dyDescent="0.2">
      <c r="S135" s="938"/>
    </row>
    <row r="136" spans="19:19" x14ac:dyDescent="0.2">
      <c r="S136" s="938"/>
    </row>
    <row r="137" spans="19:19" x14ac:dyDescent="0.2">
      <c r="S137" s="938"/>
    </row>
    <row r="138" spans="19:19" x14ac:dyDescent="0.2">
      <c r="S138" s="938"/>
    </row>
    <row r="139" spans="19:19" x14ac:dyDescent="0.2">
      <c r="S139" s="938"/>
    </row>
    <row r="140" spans="19:19" x14ac:dyDescent="0.2">
      <c r="S140" s="938"/>
    </row>
    <row r="141" spans="19:19" x14ac:dyDescent="0.2">
      <c r="S141" s="938"/>
    </row>
    <row r="142" spans="19:19" x14ac:dyDescent="0.2">
      <c r="S142" s="938"/>
    </row>
    <row r="143" spans="19:19" x14ac:dyDescent="0.2">
      <c r="S143" s="938"/>
    </row>
    <row r="144" spans="19:19" x14ac:dyDescent="0.2">
      <c r="S144" s="938"/>
    </row>
    <row r="145" spans="19:19" x14ac:dyDescent="0.2">
      <c r="S145" s="938"/>
    </row>
    <row r="146" spans="19:19" x14ac:dyDescent="0.2">
      <c r="S146" s="938"/>
    </row>
    <row r="147" spans="19:19" x14ac:dyDescent="0.2">
      <c r="S147" s="938"/>
    </row>
    <row r="148" spans="19:19" x14ac:dyDescent="0.2">
      <c r="S148" s="938"/>
    </row>
    <row r="149" spans="19:19" x14ac:dyDescent="0.2">
      <c r="S149" s="938"/>
    </row>
  </sheetData>
  <sheetProtection algorithmName="SHA-512" hashValue="l5MEdTSLXSMhAhOyWxI19JnhMUJwyH/jr+v/bjE87Gd2cPrdGekrcByV4QwE/Iwl2sIMYyo6HutNUTqJ8zfuyQ==" saltValue="IS0SP91s/C+dFbemdI91Wg==" spinCount="100000" sheet="1" formatCells="0" formatColumns="0" formatRows="0" insertColumns="0" insertRows="0" insertHyperlinks="0" deleteColumns="0" deleteRows="0" sort="0" autoFilter="0" pivotTables="0"/>
  <mergeCells count="15">
    <mergeCell ref="F69:H69"/>
    <mergeCell ref="D67:E67"/>
    <mergeCell ref="F45:H45"/>
    <mergeCell ref="F60:H60"/>
    <mergeCell ref="F51:H51"/>
    <mergeCell ref="F64:H64"/>
    <mergeCell ref="D68:E68"/>
    <mergeCell ref="D53:E53"/>
    <mergeCell ref="F55:H55"/>
    <mergeCell ref="D54:E54"/>
    <mergeCell ref="D13:E13"/>
    <mergeCell ref="D47:E47"/>
    <mergeCell ref="D57:E57"/>
    <mergeCell ref="D62:E62"/>
    <mergeCell ref="D6:P6"/>
  </mergeCells>
  <pageMargins left="0" right="0" top="0" bottom="0" header="0.31496062992125984" footer="0.31496062992125984"/>
  <pageSetup paperSize="9" scale="62" orientation="portrait" verticalDpi="0" r:id="rId1"/>
  <ignoredErrors>
    <ignoredError sqref="I1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49"/>
  <sheetViews>
    <sheetView topLeftCell="A57" zoomScale="80" zoomScaleNormal="80" workbookViewId="0">
      <selection activeCell="O10" sqref="O10"/>
    </sheetView>
  </sheetViews>
  <sheetFormatPr defaultColWidth="11.42578125" defaultRowHeight="12.75" x14ac:dyDescent="0.2"/>
  <cols>
    <col min="1" max="1" width="2.85546875" style="940" customWidth="1"/>
    <col min="2" max="2" width="1.140625" style="940" customWidth="1"/>
    <col min="3" max="3" width="2.85546875" style="940" customWidth="1"/>
    <col min="4" max="4" width="11.42578125" style="940"/>
    <col min="5" max="5" width="15.7109375" style="940" bestFit="1" customWidth="1"/>
    <col min="6" max="7" width="15.28515625" style="940" customWidth="1"/>
    <col min="8" max="8" width="11.42578125" style="940"/>
    <col min="9" max="9" width="12" style="940" customWidth="1"/>
    <col min="10" max="17" width="11.42578125" style="940"/>
    <col min="18" max="18" width="3.140625" style="940" customWidth="1"/>
    <col min="19" max="19" width="1" style="940" customWidth="1"/>
    <col min="20" max="16384" width="11.42578125" style="940"/>
  </cols>
  <sheetData>
    <row r="3" spans="1:27" ht="13.5" thickBot="1" x14ac:dyDescent="0.25">
      <c r="A3" s="938"/>
      <c r="B3" s="913"/>
      <c r="C3" s="914" t="s">
        <v>561</v>
      </c>
      <c r="D3" s="915"/>
      <c r="E3" s="915"/>
      <c r="F3" s="915"/>
      <c r="G3" s="915"/>
      <c r="H3" s="915"/>
      <c r="I3" s="915"/>
      <c r="J3" s="915"/>
      <c r="K3" s="915"/>
      <c r="L3" s="915"/>
      <c r="M3" s="915"/>
      <c r="N3" s="915"/>
      <c r="O3" s="915"/>
      <c r="P3" s="915"/>
      <c r="Q3" s="915"/>
      <c r="R3" s="915"/>
      <c r="S3" s="915"/>
    </row>
    <row r="4" spans="1:27" ht="6.75" customHeight="1" x14ac:dyDescent="0.2">
      <c r="A4" s="938"/>
      <c r="B4" s="917"/>
      <c r="C4" s="918"/>
      <c r="D4" s="918"/>
      <c r="E4" s="918"/>
      <c r="F4" s="918"/>
      <c r="G4" s="918"/>
      <c r="H4" s="918"/>
      <c r="I4" s="918"/>
      <c r="J4" s="918"/>
      <c r="K4" s="918"/>
      <c r="L4" s="918"/>
      <c r="M4" s="918"/>
      <c r="N4" s="918"/>
      <c r="O4" s="918"/>
      <c r="P4" s="918"/>
      <c r="Q4" s="918"/>
      <c r="R4" s="918"/>
      <c r="S4" s="919"/>
    </row>
    <row r="5" spans="1:27" x14ac:dyDescent="0.2">
      <c r="A5" s="938"/>
      <c r="B5" s="920"/>
      <c r="C5" s="921"/>
      <c r="D5" s="921"/>
      <c r="E5" s="921"/>
      <c r="F5" s="921"/>
      <c r="G5" s="921"/>
      <c r="H5" s="921"/>
      <c r="I5" s="921"/>
      <c r="J5" s="921"/>
      <c r="K5" s="921"/>
      <c r="L5" s="921"/>
      <c r="M5" s="921"/>
      <c r="N5" s="921"/>
      <c r="O5" s="921"/>
      <c r="P5" s="921"/>
      <c r="Q5" s="921"/>
      <c r="R5" s="921"/>
      <c r="S5" s="922"/>
    </row>
    <row r="6" spans="1:27" ht="26.25" x14ac:dyDescent="0.4">
      <c r="A6" s="938"/>
      <c r="B6" s="920"/>
      <c r="C6" s="923"/>
      <c r="D6" s="1062" t="s">
        <v>539</v>
      </c>
      <c r="E6" s="1063"/>
      <c r="F6" s="1063"/>
      <c r="G6" s="1063"/>
      <c r="H6" s="1063"/>
      <c r="I6" s="1063"/>
      <c r="J6" s="1063"/>
      <c r="K6" s="1063"/>
      <c r="L6" s="1063"/>
      <c r="M6" s="1063"/>
      <c r="N6" s="1063"/>
      <c r="O6" s="1063"/>
      <c r="P6" s="1063"/>
      <c r="Q6" s="1064"/>
      <c r="R6" s="923"/>
      <c r="S6" s="922"/>
    </row>
    <row r="7" spans="1:27" x14ac:dyDescent="0.2">
      <c r="A7" s="938"/>
      <c r="B7" s="920"/>
      <c r="C7" s="923"/>
      <c r="D7" s="921"/>
      <c r="E7" s="923"/>
      <c r="F7" s="923"/>
      <c r="G7" s="923"/>
      <c r="H7" s="923"/>
      <c r="I7" s="923"/>
      <c r="J7" s="923"/>
      <c r="K7" s="923"/>
      <c r="L7" s="923"/>
      <c r="M7" s="923"/>
      <c r="N7" s="923"/>
      <c r="O7" s="923"/>
      <c r="P7" s="923"/>
      <c r="Q7" s="923"/>
      <c r="R7" s="923"/>
      <c r="S7" s="922"/>
      <c r="U7" s="943" t="str">
        <f>D13</f>
        <v>ACCOMMODATION</v>
      </c>
      <c r="V7" s="944">
        <f>J45</f>
        <v>6877.067500000001</v>
      </c>
    </row>
    <row r="8" spans="1:27" ht="15" x14ac:dyDescent="0.25">
      <c r="A8" s="938"/>
      <c r="B8" s="920"/>
      <c r="C8" s="923"/>
      <c r="D8" s="924" t="s">
        <v>572</v>
      </c>
      <c r="E8" s="892"/>
      <c r="F8" s="925" t="str">
        <f>'TFG Quotation Template'!D8</f>
        <v>Dunk</v>
      </c>
      <c r="G8" s="925"/>
      <c r="H8" s="924" t="s">
        <v>589</v>
      </c>
      <c r="I8" s="892">
        <f>'TFG Quotation Template'!I6:J6</f>
        <v>0</v>
      </c>
      <c r="J8" s="892"/>
      <c r="K8" s="892"/>
      <c r="L8" s="892"/>
      <c r="M8" s="892"/>
      <c r="N8" s="892"/>
      <c r="O8" s="892"/>
      <c r="P8" s="892"/>
      <c r="Q8" s="892"/>
      <c r="R8" s="923"/>
      <c r="S8" s="922"/>
      <c r="T8" s="945"/>
      <c r="U8" s="943" t="str">
        <f>D47</f>
        <v>GROUND HANDLING</v>
      </c>
      <c r="V8" s="944">
        <f>J51</f>
        <v>1176.9128787878788</v>
      </c>
      <c r="W8" s="946"/>
      <c r="X8" s="946"/>
      <c r="Y8" s="946"/>
      <c r="Z8" s="946"/>
      <c r="AA8" s="946"/>
    </row>
    <row r="9" spans="1:27" ht="15" x14ac:dyDescent="0.25">
      <c r="A9" s="938"/>
      <c r="B9" s="920"/>
      <c r="C9" s="923"/>
      <c r="D9" s="924" t="s">
        <v>573</v>
      </c>
      <c r="E9" s="892"/>
      <c r="F9" s="925">
        <f>'TFG Quotation Template'!G8</f>
        <v>0</v>
      </c>
      <c r="G9" s="925"/>
      <c r="H9" s="892"/>
      <c r="I9" s="892"/>
      <c r="J9" s="892"/>
      <c r="K9" s="892"/>
      <c r="L9" s="892"/>
      <c r="M9" s="892"/>
      <c r="N9" s="892"/>
      <c r="O9" s="892"/>
      <c r="P9" s="892"/>
      <c r="Q9" s="892"/>
      <c r="R9" s="923"/>
      <c r="S9" s="922"/>
      <c r="T9" s="938"/>
      <c r="U9" s="943" t="str">
        <f>D57</f>
        <v xml:space="preserve">SITE VISITS AND EXPERIENCES </v>
      </c>
      <c r="V9" s="944">
        <f>J60</f>
        <v>415.8</v>
      </c>
    </row>
    <row r="10" spans="1:27" ht="15" x14ac:dyDescent="0.25">
      <c r="A10" s="938"/>
      <c r="B10" s="920"/>
      <c r="C10" s="923"/>
      <c r="D10" s="924" t="s">
        <v>587</v>
      </c>
      <c r="E10" s="892"/>
      <c r="F10" s="925" t="str">
        <f>'TFG Quotation Template'!D6</f>
        <v>UK</v>
      </c>
      <c r="G10" s="925"/>
      <c r="H10" s="892"/>
      <c r="I10" s="892"/>
      <c r="J10" s="892"/>
      <c r="K10" s="892"/>
      <c r="L10" s="892"/>
      <c r="M10" s="892"/>
      <c r="N10" s="892"/>
      <c r="O10" s="892"/>
      <c r="P10" s="892"/>
      <c r="Q10" s="892"/>
      <c r="R10" s="923"/>
      <c r="S10" s="922"/>
      <c r="T10" s="938"/>
      <c r="U10" s="943" t="str">
        <f>D62</f>
        <v>INTERNATIONAL FLIGHTS</v>
      </c>
      <c r="V10" s="944">
        <f>J64</f>
        <v>0</v>
      </c>
    </row>
    <row r="11" spans="1:27" ht="15" x14ac:dyDescent="0.25">
      <c r="A11" s="938"/>
      <c r="B11" s="920"/>
      <c r="C11" s="923"/>
      <c r="D11" s="926"/>
      <c r="E11" s="892"/>
      <c r="F11" s="892"/>
      <c r="G11" s="892"/>
      <c r="H11" s="892"/>
      <c r="I11" s="892"/>
      <c r="J11" s="892"/>
      <c r="K11" s="892"/>
      <c r="L11" s="892"/>
      <c r="M11" s="892"/>
      <c r="N11" s="892"/>
      <c r="O11" s="892"/>
      <c r="P11" s="892"/>
      <c r="Q11" s="892"/>
      <c r="R11" s="923"/>
      <c r="S11" s="922"/>
      <c r="T11" s="938"/>
      <c r="U11" s="943" t="str">
        <f>D67</f>
        <v xml:space="preserve">OTHER STATUTORY CHARGES </v>
      </c>
      <c r="V11" s="944">
        <f>J69</f>
        <v>-50.39034060606059</v>
      </c>
    </row>
    <row r="12" spans="1:27" ht="15" x14ac:dyDescent="0.25">
      <c r="A12" s="938"/>
      <c r="B12" s="920"/>
      <c r="C12" s="923"/>
      <c r="D12" s="926"/>
      <c r="E12" s="892"/>
      <c r="F12" s="892"/>
      <c r="G12" s="892"/>
      <c r="H12" s="892"/>
      <c r="I12" s="892"/>
      <c r="J12" s="892"/>
      <c r="K12" s="892"/>
      <c r="L12" s="892"/>
      <c r="M12" s="892"/>
      <c r="N12" s="892"/>
      <c r="O12" s="892"/>
      <c r="P12" s="892"/>
      <c r="Q12" s="892"/>
      <c r="R12" s="923"/>
      <c r="S12" s="922"/>
      <c r="T12" s="938"/>
    </row>
    <row r="13" spans="1:27" ht="15" x14ac:dyDescent="0.25">
      <c r="A13" s="938"/>
      <c r="B13" s="920"/>
      <c r="C13" s="923"/>
      <c r="D13" s="1059" t="s">
        <v>608</v>
      </c>
      <c r="E13" s="1060"/>
      <c r="F13" s="892"/>
      <c r="G13" s="892"/>
      <c r="H13" s="892"/>
      <c r="I13" s="892"/>
      <c r="J13" s="892"/>
      <c r="K13" s="892"/>
      <c r="L13" s="892"/>
      <c r="M13" s="892"/>
      <c r="N13" s="892"/>
      <c r="O13" s="892"/>
      <c r="P13" s="892"/>
      <c r="Q13" s="892"/>
      <c r="R13" s="923"/>
      <c r="S13" s="922"/>
      <c r="T13" s="938"/>
    </row>
    <row r="14" spans="1:27" ht="30" x14ac:dyDescent="0.25">
      <c r="A14" s="938"/>
      <c r="B14" s="920"/>
      <c r="C14" s="923"/>
      <c r="D14" s="893" t="s">
        <v>540</v>
      </c>
      <c r="E14" s="893" t="s">
        <v>541</v>
      </c>
      <c r="F14" s="893" t="s">
        <v>542</v>
      </c>
      <c r="G14" s="893" t="s">
        <v>601</v>
      </c>
      <c r="H14" s="893" t="s">
        <v>543</v>
      </c>
      <c r="I14" s="894" t="s">
        <v>395</v>
      </c>
      <c r="J14" s="893" t="s">
        <v>544</v>
      </c>
      <c r="K14" s="929"/>
      <c r="L14" s="929"/>
      <c r="M14" s="929"/>
      <c r="N14" s="929"/>
      <c r="O14" s="929"/>
      <c r="P14" s="929"/>
      <c r="Q14" s="929"/>
      <c r="R14" s="923"/>
      <c r="S14" s="922"/>
      <c r="T14" s="938"/>
    </row>
    <row r="15" spans="1:27" ht="15" x14ac:dyDescent="0.25">
      <c r="A15" s="938"/>
      <c r="B15" s="920"/>
      <c r="C15" s="923"/>
      <c r="D15" s="895">
        <f>'TFG Quotation Template'!C14</f>
        <v>43870</v>
      </c>
      <c r="E15" s="896">
        <f>'TFG Quotation Template'!D14</f>
        <v>0</v>
      </c>
      <c r="F15" s="896" t="str">
        <f>'TFG Quotation Template'!F14</f>
        <v>Kings Pavillion</v>
      </c>
      <c r="G15" s="896" t="str">
        <f>'TFG Quotation Template'!H14</f>
        <v>D</v>
      </c>
      <c r="H15" s="896" t="str">
        <f>'TFG Quotation Template'!I14</f>
        <v xml:space="preserve">Junior Suite </v>
      </c>
      <c r="I15" s="897" t="str">
        <f>'TFG Quotation Template'!J14</f>
        <v>BB</v>
      </c>
      <c r="J15" s="898">
        <f>IF('TFG Quotation Template'!$D$7='TFG Quotation Template'!$R$12,'TFG Quotation Template'!R14+'TFG Quotation Template'!W14,IF('TFG Quotation Template'!$D$7='TFG Quotation Template'!$S$12,'TFG Quotation Template'!S14+'TFG Quotation Template'!X14,IF('TFG Quotation Template'!$D$7='TFG Quotation Template'!$T$12,'TFG Quotation Template'!T14+'TFG Quotation Template'!Y14,'TFG Quotation Template'!U14+'TFG Quotation Template'!Z14)))</f>
        <v>398.35250000000002</v>
      </c>
      <c r="K15" s="930"/>
      <c r="L15" s="930"/>
      <c r="M15" s="930"/>
      <c r="N15" s="930"/>
      <c r="O15" s="930"/>
      <c r="P15" s="930"/>
      <c r="Q15" s="930"/>
      <c r="R15" s="931"/>
      <c r="S15" s="922"/>
      <c r="T15" s="938"/>
    </row>
    <row r="16" spans="1:27" ht="15" x14ac:dyDescent="0.25">
      <c r="A16" s="938"/>
      <c r="B16" s="920"/>
      <c r="C16" s="923"/>
      <c r="D16" s="895">
        <f>'TFG Quotation Template'!C15</f>
        <v>43871</v>
      </c>
      <c r="E16" s="896">
        <f>'TFG Quotation Template'!D15</f>
        <v>0</v>
      </c>
      <c r="F16" s="896" t="str">
        <f>'TFG Quotation Template'!F15</f>
        <v>Kings Pavillion</v>
      </c>
      <c r="G16" s="896" t="str">
        <f>'TFG Quotation Template'!H15</f>
        <v>D</v>
      </c>
      <c r="H16" s="896" t="str">
        <f>'TFG Quotation Template'!I15</f>
        <v xml:space="preserve">Junior Suite </v>
      </c>
      <c r="I16" s="897" t="str">
        <f>'TFG Quotation Template'!J15</f>
        <v>BB</v>
      </c>
      <c r="J16" s="898">
        <f>IF('TFG Quotation Template'!$D$7='TFG Quotation Template'!$R$12,'TFG Quotation Template'!R15+'TFG Quotation Template'!W15,IF('TFG Quotation Template'!$D$7='TFG Quotation Template'!$S$12,'TFG Quotation Template'!S15+'TFG Quotation Template'!X15,IF('TFG Quotation Template'!$D$7='TFG Quotation Template'!$T$12,'TFG Quotation Template'!T15+'TFG Quotation Template'!Y15,'TFG Quotation Template'!U15+'TFG Quotation Template'!Z15)))</f>
        <v>398.35250000000002</v>
      </c>
      <c r="K16" s="930"/>
      <c r="L16" s="930"/>
      <c r="M16" s="930"/>
      <c r="N16" s="930"/>
      <c r="O16" s="930"/>
      <c r="P16" s="930"/>
      <c r="Q16" s="930"/>
      <c r="R16" s="931"/>
      <c r="S16" s="922"/>
      <c r="T16" s="938"/>
    </row>
    <row r="17" spans="1:20" ht="15" x14ac:dyDescent="0.25">
      <c r="A17" s="938"/>
      <c r="B17" s="920"/>
      <c r="C17" s="923"/>
      <c r="D17" s="895">
        <f>'TFG Quotation Template'!C16</f>
        <v>43872</v>
      </c>
      <c r="E17" s="896">
        <f>'TFG Quotation Template'!D16</f>
        <v>0</v>
      </c>
      <c r="F17" s="896" t="str">
        <f>'TFG Quotation Template'!F16</f>
        <v>Kings Pavillion</v>
      </c>
      <c r="G17" s="896" t="str">
        <f>'TFG Quotation Template'!H16</f>
        <v>D</v>
      </c>
      <c r="H17" s="896" t="str">
        <f>'TFG Quotation Template'!I16</f>
        <v xml:space="preserve">Junior Suite </v>
      </c>
      <c r="I17" s="897" t="str">
        <f>'TFG Quotation Template'!J16</f>
        <v>BB</v>
      </c>
      <c r="J17" s="898">
        <f>IF('TFG Quotation Template'!$D$7='TFG Quotation Template'!$R$12,'TFG Quotation Template'!R16+'TFG Quotation Template'!W16,IF('TFG Quotation Template'!$D$7='TFG Quotation Template'!$S$12,'TFG Quotation Template'!S16+'TFG Quotation Template'!X16,IF('TFG Quotation Template'!$D$7='TFG Quotation Template'!$T$12,'TFG Quotation Template'!T16+'TFG Quotation Template'!Y16,'TFG Quotation Template'!U16+'TFG Quotation Template'!Z16)))</f>
        <v>398.35250000000002</v>
      </c>
      <c r="K17" s="930"/>
      <c r="L17" s="930"/>
      <c r="M17" s="930"/>
      <c r="N17" s="930"/>
      <c r="O17" s="930"/>
      <c r="P17" s="930"/>
      <c r="Q17" s="930"/>
      <c r="R17" s="931"/>
      <c r="S17" s="922"/>
      <c r="T17" s="938"/>
    </row>
    <row r="18" spans="1:20" ht="15" x14ac:dyDescent="0.25">
      <c r="A18" s="938"/>
      <c r="B18" s="920"/>
      <c r="C18" s="923"/>
      <c r="D18" s="895">
        <f>'TFG Quotation Template'!C17</f>
        <v>43873</v>
      </c>
      <c r="E18" s="896">
        <f>'TFG Quotation Template'!D17</f>
        <v>0</v>
      </c>
      <c r="F18" s="896" t="str">
        <f>'TFG Quotation Template'!F17</f>
        <v>Nine Skies</v>
      </c>
      <c r="G18" s="896" t="str">
        <f>'TFG Quotation Template'!H17</f>
        <v>A</v>
      </c>
      <c r="H18" s="896" t="str">
        <f>'TFG Quotation Template'!I17</f>
        <v>Bedroom twin</v>
      </c>
      <c r="I18" s="897" t="str">
        <f>'TFG Quotation Template'!J17</f>
        <v>Ai</v>
      </c>
      <c r="J18" s="898">
        <f>IF('TFG Quotation Template'!$D$7='TFG Quotation Template'!$R$12,'TFG Quotation Template'!R17+'TFG Quotation Template'!W17,IF('TFG Quotation Template'!$D$7='TFG Quotation Template'!$S$12,'TFG Quotation Template'!S17+'TFG Quotation Template'!X17,IF('TFG Quotation Template'!$D$7='TFG Quotation Template'!$T$12,'TFG Quotation Template'!T17+'TFG Quotation Template'!Y17,'TFG Quotation Template'!U17+'TFG Quotation Template'!Z17)))</f>
        <v>581.9</v>
      </c>
      <c r="K18" s="930"/>
      <c r="L18" s="930"/>
      <c r="M18" s="930"/>
      <c r="N18" s="930"/>
      <c r="O18" s="930"/>
      <c r="P18" s="930"/>
      <c r="Q18" s="930"/>
      <c r="R18" s="931"/>
      <c r="S18" s="922"/>
      <c r="T18" s="938"/>
    </row>
    <row r="19" spans="1:20" ht="15" x14ac:dyDescent="0.25">
      <c r="A19" s="938"/>
      <c r="B19" s="920"/>
      <c r="C19" s="923"/>
      <c r="D19" s="895">
        <f>'TFG Quotation Template'!C18</f>
        <v>43874</v>
      </c>
      <c r="E19" s="896">
        <f>'TFG Quotation Template'!D18</f>
        <v>0</v>
      </c>
      <c r="F19" s="896" t="str">
        <f>'TFG Quotation Template'!F18</f>
        <v>Nine Skies</v>
      </c>
      <c r="G19" s="896" t="str">
        <f>'TFG Quotation Template'!H18</f>
        <v>A</v>
      </c>
      <c r="H19" s="896" t="str">
        <f>'TFG Quotation Template'!I18</f>
        <v>Bedroom twin</v>
      </c>
      <c r="I19" s="897" t="str">
        <f>'TFG Quotation Template'!J18</f>
        <v>AI</v>
      </c>
      <c r="J19" s="898">
        <f>IF('TFG Quotation Template'!$D$7='TFG Quotation Template'!$R$12,'TFG Quotation Template'!R18+'TFG Quotation Template'!W18,IF('TFG Quotation Template'!$D$7='TFG Quotation Template'!$S$12,'TFG Quotation Template'!S18+'TFG Quotation Template'!X18,IF('TFG Quotation Template'!$D$7='TFG Quotation Template'!$T$12,'TFG Quotation Template'!T18+'TFG Quotation Template'!Y18,'TFG Quotation Template'!U18+'TFG Quotation Template'!Z18)))</f>
        <v>581.9</v>
      </c>
      <c r="K19" s="930"/>
      <c r="L19" s="930"/>
      <c r="M19" s="930"/>
      <c r="N19" s="930"/>
      <c r="O19" s="930"/>
      <c r="P19" s="930"/>
      <c r="Q19" s="930"/>
      <c r="R19" s="931"/>
      <c r="S19" s="922"/>
      <c r="T19" s="938"/>
    </row>
    <row r="20" spans="1:20" ht="15" x14ac:dyDescent="0.25">
      <c r="A20" s="938"/>
      <c r="B20" s="920"/>
      <c r="C20" s="923"/>
      <c r="D20" s="895">
        <f>'TFG Quotation Template'!C19</f>
        <v>43875</v>
      </c>
      <c r="E20" s="896">
        <f>'TFG Quotation Template'!D19</f>
        <v>0</v>
      </c>
      <c r="F20" s="896" t="str">
        <f>'TFG Quotation Template'!F19</f>
        <v>Wild oast Lodge</v>
      </c>
      <c r="G20" s="896" t="str">
        <f>'TFG Quotation Template'!H19</f>
        <v>B</v>
      </c>
      <c r="H20" s="896" t="str">
        <f>'TFG Quotation Template'!I19</f>
        <v>Cocoon Suite</v>
      </c>
      <c r="I20" s="897" t="str">
        <f>'TFG Quotation Template'!J19</f>
        <v>AI</v>
      </c>
      <c r="J20" s="898">
        <f>IF('TFG Quotation Template'!$D$7='TFG Quotation Template'!$R$12,'TFG Quotation Template'!R19+'TFG Quotation Template'!W19,IF('TFG Quotation Template'!$D$7='TFG Quotation Template'!$S$12,'TFG Quotation Template'!S19+'TFG Quotation Template'!X19,IF('TFG Quotation Template'!$D$7='TFG Quotation Template'!$T$12,'TFG Quotation Template'!T19+'TFG Quotation Template'!Y19,'TFG Quotation Template'!U19+'TFG Quotation Template'!Z19)))</f>
        <v>1016.4000000000001</v>
      </c>
      <c r="K20" s="930"/>
      <c r="L20" s="930"/>
      <c r="M20" s="930"/>
      <c r="N20" s="930"/>
      <c r="O20" s="930"/>
      <c r="P20" s="930"/>
      <c r="Q20" s="930"/>
      <c r="R20" s="931"/>
      <c r="S20" s="922"/>
      <c r="T20" s="938"/>
    </row>
    <row r="21" spans="1:20" ht="15" x14ac:dyDescent="0.25">
      <c r="A21" s="938"/>
      <c r="B21" s="920"/>
      <c r="C21" s="923"/>
      <c r="D21" s="895">
        <f>'TFG Quotation Template'!C20</f>
        <v>43876</v>
      </c>
      <c r="E21" s="896">
        <f>'TFG Quotation Template'!D20</f>
        <v>0</v>
      </c>
      <c r="F21" s="896" t="str">
        <f>'TFG Quotation Template'!F20</f>
        <v>Wild oast Lodge</v>
      </c>
      <c r="G21" s="896" t="str">
        <f>'TFG Quotation Template'!H20</f>
        <v>B</v>
      </c>
      <c r="H21" s="896" t="str">
        <f>'TFG Quotation Template'!I20</f>
        <v>Cocoon Suite</v>
      </c>
      <c r="I21" s="897" t="str">
        <f>'TFG Quotation Template'!J20</f>
        <v>AI</v>
      </c>
      <c r="J21" s="898">
        <f>IF('TFG Quotation Template'!$D$7='TFG Quotation Template'!$R$12,'TFG Quotation Template'!R20+'TFG Quotation Template'!W20,IF('TFG Quotation Template'!$D$7='TFG Quotation Template'!$S$12,'TFG Quotation Template'!S20+'TFG Quotation Template'!X20,IF('TFG Quotation Template'!$D$7='TFG Quotation Template'!$T$12,'TFG Quotation Template'!T20+'TFG Quotation Template'!Y20,'TFG Quotation Template'!U20+'TFG Quotation Template'!Z20)))</f>
        <v>1016.4000000000001</v>
      </c>
      <c r="K21" s="930"/>
      <c r="L21" s="930"/>
      <c r="M21" s="930"/>
      <c r="N21" s="930"/>
      <c r="O21" s="930"/>
      <c r="P21" s="930"/>
      <c r="Q21" s="930"/>
      <c r="R21" s="931"/>
      <c r="S21" s="922"/>
      <c r="T21" s="938"/>
    </row>
    <row r="22" spans="1:20" ht="15" x14ac:dyDescent="0.25">
      <c r="A22" s="938"/>
      <c r="B22" s="920"/>
      <c r="C22" s="923"/>
      <c r="D22" s="895">
        <f>'TFG Quotation Template'!C21</f>
        <v>43877</v>
      </c>
      <c r="E22" s="896">
        <f>'TFG Quotation Template'!D21</f>
        <v>0</v>
      </c>
      <c r="F22" s="896" t="str">
        <f>'TFG Quotation Template'!F21</f>
        <v>Wild oast Lodge</v>
      </c>
      <c r="G22" s="896" t="str">
        <f>'TFG Quotation Template'!H21</f>
        <v>B</v>
      </c>
      <c r="H22" s="896" t="str">
        <f>'TFG Quotation Template'!I21</f>
        <v>Cocoon Suite</v>
      </c>
      <c r="I22" s="897" t="str">
        <f>'TFG Quotation Template'!J21</f>
        <v>AI</v>
      </c>
      <c r="J22" s="898">
        <f>IF('TFG Quotation Template'!$D$7='TFG Quotation Template'!$R$12,'TFG Quotation Template'!R21+'TFG Quotation Template'!W21,IF('TFG Quotation Template'!$D$7='TFG Quotation Template'!$S$12,'TFG Quotation Template'!S21+'TFG Quotation Template'!X21,IF('TFG Quotation Template'!$D$7='TFG Quotation Template'!$T$12,'TFG Quotation Template'!T21+'TFG Quotation Template'!Y21,'TFG Quotation Template'!U21+'TFG Quotation Template'!Z21)))</f>
        <v>1016.4000000000001</v>
      </c>
      <c r="K22" s="930"/>
      <c r="L22" s="930"/>
      <c r="M22" s="930"/>
      <c r="N22" s="930"/>
      <c r="O22" s="930"/>
      <c r="P22" s="930"/>
      <c r="Q22" s="930"/>
      <c r="R22" s="931"/>
      <c r="S22" s="922"/>
      <c r="T22" s="938"/>
    </row>
    <row r="23" spans="1:20" ht="15" x14ac:dyDescent="0.25">
      <c r="A23" s="938"/>
      <c r="B23" s="920"/>
      <c r="C23" s="923"/>
      <c r="D23" s="895">
        <f>'TFG Quotation Template'!C22</f>
        <v>43878</v>
      </c>
      <c r="E23" s="896" t="str">
        <f>'TFG Quotation Template'!D22</f>
        <v>303 per night on BB with a 40% off from pasan and an HB upgrade</v>
      </c>
      <c r="F23" s="896" t="str">
        <f>'TFG Quotation Template'!F22</f>
        <v>Shangri La Hambantota</v>
      </c>
      <c r="G23" s="896" t="str">
        <f>'TFG Quotation Template'!H22</f>
        <v>A</v>
      </c>
      <c r="H23" s="896" t="str">
        <f>'TFG Quotation Template'!I22</f>
        <v>Premier Ocean Room</v>
      </c>
      <c r="I23" s="897" t="str">
        <f>'TFG Quotation Template'!J22</f>
        <v>HB</v>
      </c>
      <c r="J23" s="898">
        <f>IF('TFG Quotation Template'!$D$7='TFG Quotation Template'!$R$12,'TFG Quotation Template'!R22+'TFG Quotation Template'!W22,IF('TFG Quotation Template'!$D$7='TFG Quotation Template'!$S$12,'TFG Quotation Template'!S22+'TFG Quotation Template'!X22,IF('TFG Quotation Template'!$D$7='TFG Quotation Template'!$T$12,'TFG Quotation Template'!T22+'TFG Quotation Template'!Y22,'TFG Quotation Template'!U22+'TFG Quotation Template'!Z22)))</f>
        <v>209.07</v>
      </c>
      <c r="K23" s="930"/>
      <c r="L23" s="930"/>
      <c r="M23" s="930"/>
      <c r="N23" s="930"/>
      <c r="O23" s="930"/>
      <c r="P23" s="930"/>
      <c r="Q23" s="930"/>
      <c r="R23" s="931"/>
      <c r="S23" s="922"/>
      <c r="T23" s="938"/>
    </row>
    <row r="24" spans="1:20" ht="15" x14ac:dyDescent="0.25">
      <c r="A24" s="938"/>
      <c r="B24" s="920"/>
      <c r="C24" s="923"/>
      <c r="D24" s="895">
        <f>'TFG Quotation Template'!C23</f>
        <v>43879</v>
      </c>
      <c r="E24" s="896">
        <f>'TFG Quotation Template'!D23</f>
        <v>0</v>
      </c>
      <c r="F24" s="896" t="str">
        <f>'TFG Quotation Template'!F23</f>
        <v>Shangri La Hambantota</v>
      </c>
      <c r="G24" s="896" t="str">
        <f>'TFG Quotation Template'!H23</f>
        <v>A</v>
      </c>
      <c r="H24" s="896" t="str">
        <f>'TFG Quotation Template'!I23</f>
        <v>Premier Ocean Room</v>
      </c>
      <c r="I24" s="897" t="str">
        <f>'TFG Quotation Template'!J23</f>
        <v>HB</v>
      </c>
      <c r="J24" s="898">
        <f>IF('TFG Quotation Template'!$D$7='TFG Quotation Template'!$R$12,'TFG Quotation Template'!R23+'TFG Quotation Template'!W23,IF('TFG Quotation Template'!$D$7='TFG Quotation Template'!$S$12,'TFG Quotation Template'!S23+'TFG Quotation Template'!X23,IF('TFG Quotation Template'!$D$7='TFG Quotation Template'!$T$12,'TFG Quotation Template'!T23+'TFG Quotation Template'!Y23,'TFG Quotation Template'!U23+'TFG Quotation Template'!Z23)))</f>
        <v>209.07</v>
      </c>
      <c r="K24" s="930"/>
      <c r="L24" s="930"/>
      <c r="M24" s="930"/>
      <c r="N24" s="930"/>
      <c r="O24" s="930"/>
      <c r="P24" s="930"/>
      <c r="Q24" s="930"/>
      <c r="R24" s="931"/>
      <c r="S24" s="922"/>
      <c r="T24" s="938"/>
    </row>
    <row r="25" spans="1:20" ht="15.75" customHeight="1" x14ac:dyDescent="0.25">
      <c r="A25" s="938"/>
      <c r="B25" s="920"/>
      <c r="C25" s="923"/>
      <c r="D25" s="895">
        <f>'TFG Quotation Template'!C24</f>
        <v>43880</v>
      </c>
      <c r="E25" s="896">
        <f>'TFG Quotation Template'!D24</f>
        <v>0</v>
      </c>
      <c r="F25" s="896" t="str">
        <f>'TFG Quotation Template'!F24</f>
        <v>Shangri La Hambantota</v>
      </c>
      <c r="G25" s="896" t="str">
        <f>'TFG Quotation Template'!H24</f>
        <v>A</v>
      </c>
      <c r="H25" s="896" t="str">
        <f>'TFG Quotation Template'!I24</f>
        <v>Premier Ocean Room</v>
      </c>
      <c r="I25" s="897" t="str">
        <f>'TFG Quotation Template'!J24</f>
        <v>HB</v>
      </c>
      <c r="J25" s="898">
        <f>IF('TFG Quotation Template'!$D$7='TFG Quotation Template'!$R$12,'TFG Quotation Template'!R24+'TFG Quotation Template'!W24,IF('TFG Quotation Template'!$D$7='TFG Quotation Template'!$S$12,'TFG Quotation Template'!S24+'TFG Quotation Template'!X24,IF('TFG Quotation Template'!$D$7='TFG Quotation Template'!$T$12,'TFG Quotation Template'!T24+'TFG Quotation Template'!Y24,'TFG Quotation Template'!U24+'TFG Quotation Template'!Z24)))</f>
        <v>209.07</v>
      </c>
      <c r="K25" s="930"/>
      <c r="L25" s="930"/>
      <c r="M25" s="930"/>
      <c r="N25" s="930"/>
      <c r="O25" s="930"/>
      <c r="P25" s="930"/>
      <c r="Q25" s="930"/>
      <c r="R25" s="931"/>
      <c r="S25" s="922"/>
      <c r="T25" s="938"/>
    </row>
    <row r="26" spans="1:20" ht="15.75" customHeight="1" x14ac:dyDescent="0.25">
      <c r="A26" s="938"/>
      <c r="B26" s="920"/>
      <c r="C26" s="923"/>
      <c r="D26" s="895">
        <f>'TFG Quotation Template'!C25</f>
        <v>43881</v>
      </c>
      <c r="E26" s="896">
        <f>'TFG Quotation Template'!D25</f>
        <v>0</v>
      </c>
      <c r="F26" s="896" t="str">
        <f>'TFG Quotation Template'!F25</f>
        <v>OTP</v>
      </c>
      <c r="G26" s="896" t="str">
        <f>'TFG Quotation Template'!H25</f>
        <v>A</v>
      </c>
      <c r="H26" s="896" t="str">
        <f>'TFG Quotation Template'!I25</f>
        <v>Suite Dreams</v>
      </c>
      <c r="I26" s="897" t="str">
        <f>'TFG Quotation Template'!J25</f>
        <v>BB</v>
      </c>
      <c r="J26" s="898">
        <f>IF('TFG Quotation Template'!$D$7='TFG Quotation Template'!$R$12,'TFG Quotation Template'!R25+'TFG Quotation Template'!W25,IF('TFG Quotation Template'!$D$7='TFG Quotation Template'!$S$12,'TFG Quotation Template'!S25+'TFG Quotation Template'!X25,IF('TFG Quotation Template'!$D$7='TFG Quotation Template'!$T$12,'TFG Quotation Template'!T25+'TFG Quotation Template'!Y25,'TFG Quotation Template'!U25+'TFG Quotation Template'!Z25)))</f>
        <v>280.59999999999997</v>
      </c>
      <c r="K26" s="930"/>
      <c r="L26" s="930"/>
      <c r="M26" s="930"/>
      <c r="N26" s="930"/>
      <c r="O26" s="930"/>
      <c r="P26" s="930"/>
      <c r="Q26" s="930"/>
      <c r="R26" s="931"/>
      <c r="S26" s="922"/>
      <c r="T26" s="938"/>
    </row>
    <row r="27" spans="1:20" ht="15.75" customHeight="1" x14ac:dyDescent="0.25">
      <c r="A27" s="938"/>
      <c r="B27" s="920"/>
      <c r="C27" s="923"/>
      <c r="D27" s="895">
        <f>'TFG Quotation Template'!C26</f>
        <v>43882</v>
      </c>
      <c r="E27" s="896">
        <f>'TFG Quotation Template'!D26</f>
        <v>0</v>
      </c>
      <c r="F27" s="896" t="str">
        <f>'TFG Quotation Template'!F26</f>
        <v>OTP</v>
      </c>
      <c r="G27" s="896" t="str">
        <f>'TFG Quotation Template'!H26</f>
        <v>A</v>
      </c>
      <c r="H27" s="896" t="str">
        <f>'TFG Quotation Template'!I26</f>
        <v>Suite Dreams</v>
      </c>
      <c r="I27" s="897" t="str">
        <f>'TFG Quotation Template'!J26</f>
        <v>BB</v>
      </c>
      <c r="J27" s="898">
        <f>IF('TFG Quotation Template'!$D$7='TFG Quotation Template'!$R$12,'TFG Quotation Template'!R26+'TFG Quotation Template'!W26,IF('TFG Quotation Template'!$D$7='TFG Quotation Template'!$S$12,'TFG Quotation Template'!S26+'TFG Quotation Template'!X26,IF('TFG Quotation Template'!$D$7='TFG Quotation Template'!$T$12,'TFG Quotation Template'!T26+'TFG Quotation Template'!Y26,'TFG Quotation Template'!U26+'TFG Quotation Template'!Z26)))</f>
        <v>280.59999999999997</v>
      </c>
      <c r="K27" s="930"/>
      <c r="L27" s="930"/>
      <c r="M27" s="930"/>
      <c r="N27" s="930"/>
      <c r="O27" s="930"/>
      <c r="P27" s="930"/>
      <c r="Q27" s="930"/>
      <c r="R27" s="931"/>
      <c r="S27" s="922"/>
      <c r="T27" s="938"/>
    </row>
    <row r="28" spans="1:20" ht="15" x14ac:dyDescent="0.25">
      <c r="A28" s="938"/>
      <c r="B28" s="920"/>
      <c r="C28" s="923"/>
      <c r="D28" s="895">
        <f>'TFG Quotation Template'!C27</f>
        <v>43883</v>
      </c>
      <c r="E28" s="896">
        <f>'TFG Quotation Template'!D27</f>
        <v>0</v>
      </c>
      <c r="F28" s="896" t="str">
        <f>'TFG Quotation Template'!F27</f>
        <v>OTP</v>
      </c>
      <c r="G28" s="896" t="str">
        <f>'TFG Quotation Template'!H27</f>
        <v>A</v>
      </c>
      <c r="H28" s="896" t="str">
        <f>'TFG Quotation Template'!I27</f>
        <v>Suite Dreams</v>
      </c>
      <c r="I28" s="897" t="str">
        <f>'TFG Quotation Template'!J27</f>
        <v>BB</v>
      </c>
      <c r="J28" s="898">
        <f>IF('TFG Quotation Template'!$D$7='TFG Quotation Template'!$R$12,'TFG Quotation Template'!R27+'TFG Quotation Template'!W27,IF('TFG Quotation Template'!$D$7='TFG Quotation Template'!$S$12,'TFG Quotation Template'!S27+'TFG Quotation Template'!X27,IF('TFG Quotation Template'!$D$7='TFG Quotation Template'!$T$12,'TFG Quotation Template'!T27+'TFG Quotation Template'!Y27,'TFG Quotation Template'!U27+'TFG Quotation Template'!Z27)))</f>
        <v>280.59999999999997</v>
      </c>
      <c r="K28" s="930"/>
      <c r="L28" s="930"/>
      <c r="M28" s="930"/>
      <c r="N28" s="930"/>
      <c r="O28" s="930"/>
      <c r="P28" s="930"/>
      <c r="Q28" s="930"/>
      <c r="R28" s="931"/>
      <c r="S28" s="922"/>
      <c r="T28" s="938"/>
    </row>
    <row r="29" spans="1:20" ht="15" x14ac:dyDescent="0.25">
      <c r="A29" s="938"/>
      <c r="B29" s="920"/>
      <c r="C29" s="923"/>
      <c r="D29" s="895">
        <f>'TFG Quotation Template'!C28</f>
        <v>43884</v>
      </c>
      <c r="E29" s="896">
        <f>'TFG Quotation Template'!D28</f>
        <v>0</v>
      </c>
      <c r="F29" s="896">
        <f>'TFG Quotation Template'!F28</f>
        <v>0</v>
      </c>
      <c r="G29" s="896">
        <f>'TFG Quotation Template'!H28</f>
        <v>0</v>
      </c>
      <c r="H29" s="896">
        <f>'TFG Quotation Template'!I28</f>
        <v>0</v>
      </c>
      <c r="I29" s="897">
        <f>'TFG Quotation Template'!J28</f>
        <v>0</v>
      </c>
      <c r="J29" s="898">
        <f>IF('TFG Quotation Template'!$D$7='TFG Quotation Template'!$R$12,'TFG Quotation Template'!R28+'TFG Quotation Template'!W28,IF('TFG Quotation Template'!$D$7='TFG Quotation Template'!$S$12,'TFG Quotation Template'!S28+'TFG Quotation Template'!X28,IF('TFG Quotation Template'!$D$7='TFG Quotation Template'!$T$12,'TFG Quotation Template'!T28+'TFG Quotation Template'!Y28,'TFG Quotation Template'!U28+'TFG Quotation Template'!Z28)))</f>
        <v>0</v>
      </c>
      <c r="K29" s="930"/>
      <c r="L29" s="930"/>
      <c r="M29" s="930"/>
      <c r="N29" s="930"/>
      <c r="O29" s="930"/>
      <c r="P29" s="930"/>
      <c r="Q29" s="930"/>
      <c r="R29" s="931"/>
      <c r="S29" s="922"/>
      <c r="T29" s="938"/>
    </row>
    <row r="30" spans="1:20" ht="15" x14ac:dyDescent="0.25">
      <c r="A30" s="938"/>
      <c r="B30" s="920"/>
      <c r="C30" s="923"/>
      <c r="D30" s="895">
        <f>'TFG Quotation Template'!C29</f>
        <v>0</v>
      </c>
      <c r="E30" s="896">
        <f>'TFG Quotation Template'!D29</f>
        <v>0</v>
      </c>
      <c r="F30" s="896">
        <f>'TFG Quotation Template'!F29</f>
        <v>0</v>
      </c>
      <c r="G30" s="896">
        <f>'TFG Quotation Template'!H29</f>
        <v>0</v>
      </c>
      <c r="H30" s="896">
        <f>'TFG Quotation Template'!I29</f>
        <v>0</v>
      </c>
      <c r="I30" s="897">
        <f>'TFG Quotation Template'!J29</f>
        <v>0</v>
      </c>
      <c r="J30" s="898">
        <f>IF('TFG Quotation Template'!$D$7='TFG Quotation Template'!$R$12,'TFG Quotation Template'!R29+'TFG Quotation Template'!W29,IF('TFG Quotation Template'!$D$7='TFG Quotation Template'!$S$12,'TFG Quotation Template'!S29+'TFG Quotation Template'!X29,IF('TFG Quotation Template'!$D$7='TFG Quotation Template'!$T$12,'TFG Quotation Template'!T29+'TFG Quotation Template'!Y29,'TFG Quotation Template'!U29+'TFG Quotation Template'!Z29)))</f>
        <v>0</v>
      </c>
      <c r="K30" s="930"/>
      <c r="L30" s="930"/>
      <c r="M30" s="930"/>
      <c r="N30" s="930"/>
      <c r="O30" s="930"/>
      <c r="P30" s="930"/>
      <c r="Q30" s="930"/>
      <c r="R30" s="931"/>
      <c r="S30" s="922"/>
      <c r="T30" s="938"/>
    </row>
    <row r="31" spans="1:20" ht="15" x14ac:dyDescent="0.25">
      <c r="A31" s="938"/>
      <c r="B31" s="920"/>
      <c r="C31" s="923"/>
      <c r="D31" s="895">
        <f>'TFG Quotation Template'!C30</f>
        <v>0</v>
      </c>
      <c r="E31" s="896">
        <f>'TFG Quotation Template'!D30</f>
        <v>0</v>
      </c>
      <c r="F31" s="896">
        <f>'TFG Quotation Template'!F30</f>
        <v>0</v>
      </c>
      <c r="G31" s="896">
        <f>'TFG Quotation Template'!H30</f>
        <v>0</v>
      </c>
      <c r="H31" s="896">
        <f>'TFG Quotation Template'!I30</f>
        <v>0</v>
      </c>
      <c r="I31" s="897">
        <f>'TFG Quotation Template'!J30</f>
        <v>0</v>
      </c>
      <c r="J31" s="898">
        <f>IF('TFG Quotation Template'!$D$7='TFG Quotation Template'!$R$12,'TFG Quotation Template'!R30+'TFG Quotation Template'!W30,IF('TFG Quotation Template'!$D$7='TFG Quotation Template'!$S$12,'TFG Quotation Template'!S30+'TFG Quotation Template'!X30,IF('TFG Quotation Template'!$D$7='TFG Quotation Template'!$T$12,'TFG Quotation Template'!T30+'TFG Quotation Template'!Y30,'TFG Quotation Template'!U30+'TFG Quotation Template'!Z30)))</f>
        <v>0</v>
      </c>
      <c r="K31" s="930"/>
      <c r="L31" s="930"/>
      <c r="M31" s="930"/>
      <c r="N31" s="930"/>
      <c r="O31" s="930"/>
      <c r="P31" s="930"/>
      <c r="Q31" s="930"/>
      <c r="R31" s="931"/>
      <c r="S31" s="922"/>
      <c r="T31" s="938"/>
    </row>
    <row r="32" spans="1:20" ht="15" x14ac:dyDescent="0.25">
      <c r="A32" s="938"/>
      <c r="B32" s="920"/>
      <c r="C32" s="923"/>
      <c r="D32" s="895">
        <f>'TFG Quotation Template'!C31</f>
        <v>0</v>
      </c>
      <c r="E32" s="896">
        <f>'TFG Quotation Template'!D31</f>
        <v>0</v>
      </c>
      <c r="F32" s="896">
        <f>'TFG Quotation Template'!F31</f>
        <v>0</v>
      </c>
      <c r="G32" s="896">
        <f>'TFG Quotation Template'!H31</f>
        <v>0</v>
      </c>
      <c r="H32" s="896">
        <f>'TFG Quotation Template'!I31</f>
        <v>0</v>
      </c>
      <c r="I32" s="897">
        <f>'TFG Quotation Template'!J31</f>
        <v>0</v>
      </c>
      <c r="J32" s="898">
        <f>IF('TFG Quotation Template'!$D$7='TFG Quotation Template'!$R$12,'TFG Quotation Template'!R31+'TFG Quotation Template'!W31,IF('TFG Quotation Template'!$D$7='TFG Quotation Template'!$S$12,'TFG Quotation Template'!S31+'TFG Quotation Template'!X31,IF('TFG Quotation Template'!$D$7='TFG Quotation Template'!$T$12,'TFG Quotation Template'!T31+'TFG Quotation Template'!Y31,'TFG Quotation Template'!U31+'TFG Quotation Template'!Z31)))</f>
        <v>0</v>
      </c>
      <c r="K32" s="930"/>
      <c r="L32" s="930"/>
      <c r="M32" s="930"/>
      <c r="N32" s="930"/>
      <c r="O32" s="930"/>
      <c r="P32" s="930"/>
      <c r="Q32" s="930"/>
      <c r="R32" s="931"/>
      <c r="S32" s="922"/>
      <c r="T32" s="938"/>
    </row>
    <row r="33" spans="1:20" ht="15" x14ac:dyDescent="0.25">
      <c r="A33" s="938"/>
      <c r="B33" s="920"/>
      <c r="C33" s="923"/>
      <c r="D33" s="895">
        <f>'TFG Quotation Template'!C32</f>
        <v>0</v>
      </c>
      <c r="E33" s="896">
        <f>'TFG Quotation Template'!D32</f>
        <v>0</v>
      </c>
      <c r="F33" s="896">
        <f>'TFG Quotation Template'!F32</f>
        <v>0</v>
      </c>
      <c r="G33" s="896">
        <f>'TFG Quotation Template'!H32</f>
        <v>0</v>
      </c>
      <c r="H33" s="896">
        <f>'TFG Quotation Template'!I32</f>
        <v>0</v>
      </c>
      <c r="I33" s="897">
        <f>'TFG Quotation Template'!J32</f>
        <v>0</v>
      </c>
      <c r="J33" s="898">
        <f>IF('TFG Quotation Template'!$D$7='TFG Quotation Template'!$R$12,'TFG Quotation Template'!R32+'TFG Quotation Template'!W32,IF('TFG Quotation Template'!$D$7='TFG Quotation Template'!$S$12,'TFG Quotation Template'!S32+'TFG Quotation Template'!X32,IF('TFG Quotation Template'!$D$7='TFG Quotation Template'!$T$12,'TFG Quotation Template'!T32+'TFG Quotation Template'!Y32,'TFG Quotation Template'!U32+'TFG Quotation Template'!Z32)))</f>
        <v>0</v>
      </c>
      <c r="K33" s="930"/>
      <c r="L33" s="930"/>
      <c r="M33" s="930"/>
      <c r="N33" s="930"/>
      <c r="O33" s="930"/>
      <c r="P33" s="930"/>
      <c r="Q33" s="930"/>
      <c r="R33" s="931"/>
      <c r="S33" s="922"/>
      <c r="T33" s="938"/>
    </row>
    <row r="34" spans="1:20" ht="15" x14ac:dyDescent="0.25">
      <c r="A34" s="938"/>
      <c r="B34" s="920"/>
      <c r="C34" s="923"/>
      <c r="D34" s="895">
        <f>'TFG Quotation Template'!C33</f>
        <v>0</v>
      </c>
      <c r="E34" s="896">
        <f>'TFG Quotation Template'!D33</f>
        <v>0</v>
      </c>
      <c r="F34" s="896">
        <f>'TFG Quotation Template'!F33</f>
        <v>0</v>
      </c>
      <c r="G34" s="896">
        <f>'TFG Quotation Template'!H33</f>
        <v>0</v>
      </c>
      <c r="H34" s="896">
        <f>'TFG Quotation Template'!I33</f>
        <v>0</v>
      </c>
      <c r="I34" s="897">
        <f>'TFG Quotation Template'!J33</f>
        <v>0</v>
      </c>
      <c r="J34" s="898">
        <f>IF('TFG Quotation Template'!$D$7='TFG Quotation Template'!$R$12,'TFG Quotation Template'!R33+'TFG Quotation Template'!W33,IF('TFG Quotation Template'!$D$7='TFG Quotation Template'!$S$12,'TFG Quotation Template'!S33+'TFG Quotation Template'!X33,IF('TFG Quotation Template'!$D$7='TFG Quotation Template'!$T$12,'TFG Quotation Template'!T33+'TFG Quotation Template'!Y33,'TFG Quotation Template'!U33+'TFG Quotation Template'!Z33)))</f>
        <v>0</v>
      </c>
      <c r="K34" s="930"/>
      <c r="L34" s="930"/>
      <c r="M34" s="930"/>
      <c r="N34" s="930"/>
      <c r="O34" s="930"/>
      <c r="P34" s="930"/>
      <c r="Q34" s="930"/>
      <c r="R34" s="931"/>
      <c r="S34" s="922"/>
      <c r="T34" s="938"/>
    </row>
    <row r="35" spans="1:20" ht="15" x14ac:dyDescent="0.25">
      <c r="A35" s="938"/>
      <c r="B35" s="920"/>
      <c r="C35" s="923"/>
      <c r="D35" s="895">
        <f>'TFG Quotation Template'!C34</f>
        <v>0</v>
      </c>
      <c r="E35" s="896">
        <f>'TFG Quotation Template'!D34</f>
        <v>0</v>
      </c>
      <c r="F35" s="896">
        <f>'TFG Quotation Template'!F34</f>
        <v>0</v>
      </c>
      <c r="G35" s="896">
        <f>'TFG Quotation Template'!H34</f>
        <v>0</v>
      </c>
      <c r="H35" s="896">
        <f>'TFG Quotation Template'!I34</f>
        <v>0</v>
      </c>
      <c r="I35" s="897">
        <f>'TFG Quotation Template'!J34</f>
        <v>0</v>
      </c>
      <c r="J35" s="898">
        <f>IF('TFG Quotation Template'!$D$7='TFG Quotation Template'!$R$12,'TFG Quotation Template'!R34+'TFG Quotation Template'!W34,IF('TFG Quotation Template'!$D$7='TFG Quotation Template'!$S$12,'TFG Quotation Template'!S34+'TFG Quotation Template'!X34,IF('TFG Quotation Template'!$D$7='TFG Quotation Template'!$T$12,'TFG Quotation Template'!T34+'TFG Quotation Template'!Y34,'TFG Quotation Template'!U34+'TFG Quotation Template'!Z34)))</f>
        <v>0</v>
      </c>
      <c r="K35" s="930"/>
      <c r="L35" s="930"/>
      <c r="M35" s="930"/>
      <c r="N35" s="930"/>
      <c r="O35" s="930"/>
      <c r="P35" s="930"/>
      <c r="Q35" s="930"/>
      <c r="R35" s="931"/>
      <c r="S35" s="922"/>
      <c r="T35" s="938"/>
    </row>
    <row r="36" spans="1:20" ht="15" x14ac:dyDescent="0.25">
      <c r="A36" s="938"/>
      <c r="B36" s="920"/>
      <c r="C36" s="923"/>
      <c r="D36" s="895">
        <f>'TFG Quotation Template'!C35</f>
        <v>0</v>
      </c>
      <c r="E36" s="896">
        <f>'TFG Quotation Template'!D35</f>
        <v>0</v>
      </c>
      <c r="F36" s="896">
        <f>'TFG Quotation Template'!F35</f>
        <v>0</v>
      </c>
      <c r="G36" s="896">
        <f>'TFG Quotation Template'!H35</f>
        <v>0</v>
      </c>
      <c r="H36" s="896">
        <f>'TFG Quotation Template'!I35</f>
        <v>0</v>
      </c>
      <c r="I36" s="897">
        <f>'TFG Quotation Template'!J35</f>
        <v>0</v>
      </c>
      <c r="J36" s="898">
        <f>IF('TFG Quotation Template'!$D$7='TFG Quotation Template'!$R$12,'TFG Quotation Template'!R35+'TFG Quotation Template'!W35,IF('TFG Quotation Template'!$D$7='TFG Quotation Template'!$S$12,'TFG Quotation Template'!S35+'TFG Quotation Template'!X35,IF('TFG Quotation Template'!$D$7='TFG Quotation Template'!$T$12,'TFG Quotation Template'!T35+'TFG Quotation Template'!Y35,'TFG Quotation Template'!U35+'TFG Quotation Template'!Z35)))</f>
        <v>0</v>
      </c>
      <c r="K36" s="930"/>
      <c r="L36" s="930"/>
      <c r="M36" s="930"/>
      <c r="N36" s="930"/>
      <c r="O36" s="930"/>
      <c r="P36" s="930"/>
      <c r="Q36" s="930"/>
      <c r="R36" s="931"/>
      <c r="S36" s="922"/>
      <c r="T36" s="938"/>
    </row>
    <row r="37" spans="1:20" ht="15" x14ac:dyDescent="0.25">
      <c r="A37" s="938"/>
      <c r="B37" s="920"/>
      <c r="C37" s="923"/>
      <c r="D37" s="895">
        <f>'TFG Quotation Template'!C36</f>
        <v>0</v>
      </c>
      <c r="E37" s="896">
        <f>'TFG Quotation Template'!D36</f>
        <v>0</v>
      </c>
      <c r="F37" s="896">
        <f>'TFG Quotation Template'!F36</f>
        <v>0</v>
      </c>
      <c r="G37" s="896">
        <f>'TFG Quotation Template'!H36</f>
        <v>0</v>
      </c>
      <c r="H37" s="896">
        <f>'TFG Quotation Template'!I36</f>
        <v>0</v>
      </c>
      <c r="I37" s="897">
        <f>'TFG Quotation Template'!J36</f>
        <v>0</v>
      </c>
      <c r="J37" s="898">
        <f>IF('TFG Quotation Template'!$D$7='TFG Quotation Template'!$R$12,'TFG Quotation Template'!R36+'TFG Quotation Template'!W36,IF('TFG Quotation Template'!$D$7='TFG Quotation Template'!$S$12,'TFG Quotation Template'!S36+'TFG Quotation Template'!X36,IF('TFG Quotation Template'!$D$7='TFG Quotation Template'!$T$12,'TFG Quotation Template'!T36+'TFG Quotation Template'!Y36,'TFG Quotation Template'!U36+'TFG Quotation Template'!Z36)))</f>
        <v>0</v>
      </c>
      <c r="K37" s="930"/>
      <c r="L37" s="930"/>
      <c r="M37" s="930"/>
      <c r="N37" s="930"/>
      <c r="O37" s="930"/>
      <c r="P37" s="930"/>
      <c r="Q37" s="930"/>
      <c r="R37" s="931"/>
      <c r="S37" s="922"/>
      <c r="T37" s="938"/>
    </row>
    <row r="38" spans="1:20" ht="15" x14ac:dyDescent="0.25">
      <c r="A38" s="938"/>
      <c r="B38" s="920"/>
      <c r="C38" s="923"/>
      <c r="D38" s="895">
        <f>'TFG Quotation Template'!C37</f>
        <v>0</v>
      </c>
      <c r="E38" s="896">
        <f>'TFG Quotation Template'!D37</f>
        <v>0</v>
      </c>
      <c r="F38" s="896">
        <f>'TFG Quotation Template'!F37</f>
        <v>0</v>
      </c>
      <c r="G38" s="896">
        <f>'TFG Quotation Template'!H37</f>
        <v>0</v>
      </c>
      <c r="H38" s="896">
        <f>'TFG Quotation Template'!I37</f>
        <v>0</v>
      </c>
      <c r="I38" s="897">
        <f>'TFG Quotation Template'!J37</f>
        <v>0</v>
      </c>
      <c r="J38" s="898">
        <f>IF('TFG Quotation Template'!$D$7='TFG Quotation Template'!$R$12,'TFG Quotation Template'!R37+'TFG Quotation Template'!W37,IF('TFG Quotation Template'!$D$7='TFG Quotation Template'!$S$12,'TFG Quotation Template'!S37+'TFG Quotation Template'!X37,IF('TFG Quotation Template'!$D$7='TFG Quotation Template'!$T$12,'TFG Quotation Template'!T37+'TFG Quotation Template'!Y37,'TFG Quotation Template'!U37+'TFG Quotation Template'!Z37)))</f>
        <v>0</v>
      </c>
      <c r="K38" s="930"/>
      <c r="L38" s="930"/>
      <c r="M38" s="930"/>
      <c r="N38" s="930"/>
      <c r="O38" s="930"/>
      <c r="P38" s="930"/>
      <c r="Q38" s="930"/>
      <c r="R38" s="931"/>
      <c r="S38" s="922"/>
      <c r="T38" s="938"/>
    </row>
    <row r="39" spans="1:20" ht="15" x14ac:dyDescent="0.25">
      <c r="A39" s="938"/>
      <c r="B39" s="920"/>
      <c r="C39" s="923"/>
      <c r="D39" s="895">
        <f>'TFG Quotation Template'!C38</f>
        <v>0</v>
      </c>
      <c r="E39" s="896">
        <f>'TFG Quotation Template'!D38</f>
        <v>0</v>
      </c>
      <c r="F39" s="896">
        <f>'TFG Quotation Template'!F38</f>
        <v>0</v>
      </c>
      <c r="G39" s="896">
        <f>'TFG Quotation Template'!H38</f>
        <v>0</v>
      </c>
      <c r="H39" s="896">
        <f>'TFG Quotation Template'!I38</f>
        <v>0</v>
      </c>
      <c r="I39" s="897">
        <f>'TFG Quotation Template'!J38</f>
        <v>0</v>
      </c>
      <c r="J39" s="898">
        <f>IF('TFG Quotation Template'!$D$7='TFG Quotation Template'!$R$12,'TFG Quotation Template'!R38+'TFG Quotation Template'!W38,IF('TFG Quotation Template'!$D$7='TFG Quotation Template'!$S$12,'TFG Quotation Template'!S38+'TFG Quotation Template'!X38,IF('TFG Quotation Template'!$D$7='TFG Quotation Template'!$T$12,'TFG Quotation Template'!T38+'TFG Quotation Template'!Y38,'TFG Quotation Template'!U38+'TFG Quotation Template'!Z38)))</f>
        <v>0</v>
      </c>
      <c r="K39" s="930"/>
      <c r="L39" s="930"/>
      <c r="M39" s="930"/>
      <c r="N39" s="930"/>
      <c r="O39" s="930"/>
      <c r="P39" s="930"/>
      <c r="Q39" s="930"/>
      <c r="R39" s="931"/>
      <c r="S39" s="922"/>
      <c r="T39" s="938"/>
    </row>
    <row r="40" spans="1:20" ht="15" x14ac:dyDescent="0.25">
      <c r="A40" s="938"/>
      <c r="B40" s="920"/>
      <c r="C40" s="923"/>
      <c r="D40" s="895">
        <f>'TFG Quotation Template'!C39</f>
        <v>0</v>
      </c>
      <c r="E40" s="896">
        <f>'TFG Quotation Template'!D39</f>
        <v>0</v>
      </c>
      <c r="F40" s="896">
        <f>'TFG Quotation Template'!F39</f>
        <v>0</v>
      </c>
      <c r="G40" s="896">
        <f>'TFG Quotation Template'!H39</f>
        <v>0</v>
      </c>
      <c r="H40" s="896">
        <f>'TFG Quotation Template'!I39</f>
        <v>0</v>
      </c>
      <c r="I40" s="897">
        <f>'TFG Quotation Template'!J39</f>
        <v>0</v>
      </c>
      <c r="J40" s="898">
        <f>IF('TFG Quotation Template'!$D$7='TFG Quotation Template'!$R$12,'TFG Quotation Template'!R39+'TFG Quotation Template'!W39,IF('TFG Quotation Template'!$D$7='TFG Quotation Template'!$S$12,'TFG Quotation Template'!S39+'TFG Quotation Template'!X39,IF('TFG Quotation Template'!$D$7='TFG Quotation Template'!$T$12,'TFG Quotation Template'!T39+'TFG Quotation Template'!Y39,'TFG Quotation Template'!U39+'TFG Quotation Template'!Z39)))</f>
        <v>0</v>
      </c>
      <c r="K40" s="930"/>
      <c r="L40" s="930"/>
      <c r="M40" s="930"/>
      <c r="N40" s="930"/>
      <c r="O40" s="930"/>
      <c r="P40" s="930"/>
      <c r="Q40" s="930"/>
      <c r="R40" s="931"/>
      <c r="S40" s="922"/>
      <c r="T40" s="938"/>
    </row>
    <row r="41" spans="1:20" ht="15" x14ac:dyDescent="0.25">
      <c r="A41" s="938"/>
      <c r="B41" s="920"/>
      <c r="C41" s="923"/>
      <c r="D41" s="895">
        <f>'TFG Quotation Template'!C40</f>
        <v>0</v>
      </c>
      <c r="E41" s="896">
        <f>'TFG Quotation Template'!D40</f>
        <v>0</v>
      </c>
      <c r="F41" s="896">
        <f>'TFG Quotation Template'!F40</f>
        <v>0</v>
      </c>
      <c r="G41" s="896">
        <f>'TFG Quotation Template'!H40</f>
        <v>0</v>
      </c>
      <c r="H41" s="896">
        <f>'TFG Quotation Template'!I40</f>
        <v>0</v>
      </c>
      <c r="I41" s="897">
        <f>'TFG Quotation Template'!J40</f>
        <v>0</v>
      </c>
      <c r="J41" s="898">
        <f>IF('TFG Quotation Template'!$D$7='TFG Quotation Template'!$R$12,'TFG Quotation Template'!R40+'TFG Quotation Template'!W40,IF('TFG Quotation Template'!$D$7='TFG Quotation Template'!$S$12,'TFG Quotation Template'!S40+'TFG Quotation Template'!X40,IF('TFG Quotation Template'!$D$7='TFG Quotation Template'!$T$12,'TFG Quotation Template'!T40+'TFG Quotation Template'!Y40,'TFG Quotation Template'!U40+'TFG Quotation Template'!Z40)))</f>
        <v>0</v>
      </c>
      <c r="K41" s="930"/>
      <c r="L41" s="930"/>
      <c r="M41" s="930"/>
      <c r="N41" s="930"/>
      <c r="O41" s="930"/>
      <c r="P41" s="930"/>
      <c r="Q41" s="930"/>
      <c r="R41" s="931"/>
      <c r="S41" s="922"/>
      <c r="T41" s="938"/>
    </row>
    <row r="42" spans="1:20" ht="15" x14ac:dyDescent="0.25">
      <c r="A42" s="938"/>
      <c r="B42" s="920"/>
      <c r="C42" s="923"/>
      <c r="D42" s="895">
        <f>'TFG Quotation Template'!C41</f>
        <v>0</v>
      </c>
      <c r="E42" s="896">
        <f>'TFG Quotation Template'!D41</f>
        <v>0</v>
      </c>
      <c r="F42" s="896">
        <f>'TFG Quotation Template'!F41</f>
        <v>0</v>
      </c>
      <c r="G42" s="896">
        <f>'TFG Quotation Template'!H41</f>
        <v>0</v>
      </c>
      <c r="H42" s="896">
        <f>'TFG Quotation Template'!I41</f>
        <v>0</v>
      </c>
      <c r="I42" s="897">
        <f>'TFG Quotation Template'!J41</f>
        <v>0</v>
      </c>
      <c r="J42" s="898">
        <f>IF('TFG Quotation Template'!$D$7='TFG Quotation Template'!$R$12,'TFG Quotation Template'!R41+'TFG Quotation Template'!W41,IF('TFG Quotation Template'!$D$7='TFG Quotation Template'!$S$12,'TFG Quotation Template'!S41+'TFG Quotation Template'!X41,IF('TFG Quotation Template'!$D$7='TFG Quotation Template'!$T$12,'TFG Quotation Template'!T41+'TFG Quotation Template'!Y41,'TFG Quotation Template'!U41+'TFG Quotation Template'!Z41)))</f>
        <v>0</v>
      </c>
      <c r="K42" s="930"/>
      <c r="L42" s="930"/>
      <c r="M42" s="930"/>
      <c r="N42" s="930"/>
      <c r="O42" s="930"/>
      <c r="P42" s="930"/>
      <c r="Q42" s="930"/>
      <c r="R42" s="931"/>
      <c r="S42" s="922"/>
      <c r="T42" s="938"/>
    </row>
    <row r="43" spans="1:20" ht="15" x14ac:dyDescent="0.25">
      <c r="A43" s="938"/>
      <c r="B43" s="920"/>
      <c r="C43" s="923"/>
      <c r="D43" s="895">
        <f>'TFG Quotation Template'!C42</f>
        <v>0</v>
      </c>
      <c r="E43" s="896">
        <f>'TFG Quotation Template'!D42</f>
        <v>0</v>
      </c>
      <c r="F43" s="896">
        <f>'TFG Quotation Template'!F42</f>
        <v>0</v>
      </c>
      <c r="G43" s="896">
        <f>'TFG Quotation Template'!H42</f>
        <v>0</v>
      </c>
      <c r="H43" s="896">
        <f>'TFG Quotation Template'!I42</f>
        <v>0</v>
      </c>
      <c r="I43" s="897">
        <f>'TFG Quotation Template'!J42</f>
        <v>0</v>
      </c>
      <c r="J43" s="898">
        <f>IF('TFG Quotation Template'!$D$7='TFG Quotation Template'!$R$12,'TFG Quotation Template'!R42+'TFG Quotation Template'!W42,IF('TFG Quotation Template'!$D$7='TFG Quotation Template'!$S$12,'TFG Quotation Template'!S42+'TFG Quotation Template'!X42,IF('TFG Quotation Template'!$D$7='TFG Quotation Template'!$T$12,'TFG Quotation Template'!T42+'TFG Quotation Template'!Y42,'TFG Quotation Template'!U42+'TFG Quotation Template'!Z42)))</f>
        <v>0</v>
      </c>
      <c r="K43" s="930"/>
      <c r="L43" s="930"/>
      <c r="M43" s="930"/>
      <c r="N43" s="930"/>
      <c r="O43" s="930"/>
      <c r="P43" s="930"/>
      <c r="Q43" s="930"/>
      <c r="R43" s="931"/>
      <c r="S43" s="922"/>
      <c r="T43" s="938"/>
    </row>
    <row r="44" spans="1:20" ht="15" x14ac:dyDescent="0.25">
      <c r="A44" s="938"/>
      <c r="B44" s="920"/>
      <c r="C44" s="923"/>
      <c r="D44" s="895">
        <f>'TFG Quotation Template'!C43</f>
        <v>0</v>
      </c>
      <c r="E44" s="896">
        <f>'TFG Quotation Template'!D43</f>
        <v>0</v>
      </c>
      <c r="F44" s="896">
        <f>'TFG Quotation Template'!F43</f>
        <v>0</v>
      </c>
      <c r="G44" s="896">
        <f>'TFG Quotation Template'!H43</f>
        <v>0</v>
      </c>
      <c r="H44" s="896">
        <f>'TFG Quotation Template'!I43</f>
        <v>0</v>
      </c>
      <c r="I44" s="897">
        <f>'TFG Quotation Template'!J43</f>
        <v>0</v>
      </c>
      <c r="J44" s="898">
        <f>IF('TFG Quotation Template'!$D$7='TFG Quotation Template'!$R$12,'TFG Quotation Template'!R43+'TFG Quotation Template'!W43,IF('TFG Quotation Template'!$D$7='TFG Quotation Template'!$S$12,'TFG Quotation Template'!S43+'TFG Quotation Template'!X43,IF('TFG Quotation Template'!$D$7='TFG Quotation Template'!$T$12,'TFG Quotation Template'!T43+'TFG Quotation Template'!Y43,'TFG Quotation Template'!U43+'TFG Quotation Template'!Z43)))</f>
        <v>0</v>
      </c>
      <c r="K44" s="930"/>
      <c r="L44" s="930"/>
      <c r="M44" s="930"/>
      <c r="N44" s="930"/>
      <c r="O44" s="930"/>
      <c r="P44" s="930"/>
      <c r="Q44" s="930"/>
      <c r="R44" s="931"/>
      <c r="S44" s="922"/>
      <c r="T44" s="938"/>
    </row>
    <row r="45" spans="1:20" ht="15" x14ac:dyDescent="0.25">
      <c r="A45" s="938"/>
      <c r="B45" s="920"/>
      <c r="C45" s="923"/>
      <c r="D45" s="892"/>
      <c r="E45" s="892"/>
      <c r="F45" s="1065" t="s">
        <v>623</v>
      </c>
      <c r="G45" s="1065"/>
      <c r="H45" s="1065"/>
      <c r="I45" s="1066"/>
      <c r="J45" s="899">
        <f>SUM(J15:J44)</f>
        <v>6877.067500000001</v>
      </c>
      <c r="K45" s="930"/>
      <c r="L45" s="930"/>
      <c r="M45" s="930"/>
      <c r="N45" s="930"/>
      <c r="O45" s="930"/>
      <c r="P45" s="930"/>
      <c r="Q45" s="930"/>
      <c r="R45" s="931"/>
      <c r="S45" s="922"/>
      <c r="T45" s="938"/>
    </row>
    <row r="46" spans="1:20" ht="15" x14ac:dyDescent="0.25">
      <c r="A46" s="938"/>
      <c r="B46" s="920"/>
      <c r="C46" s="923"/>
      <c r="D46" s="892"/>
      <c r="E46" s="892"/>
      <c r="F46" s="892"/>
      <c r="G46" s="892"/>
      <c r="H46" s="892"/>
      <c r="I46" s="892"/>
      <c r="J46" s="892"/>
      <c r="K46" s="930"/>
      <c r="L46" s="930"/>
      <c r="M46" s="930"/>
      <c r="N46" s="930"/>
      <c r="O46" s="930"/>
      <c r="P46" s="930"/>
      <c r="Q46" s="930"/>
      <c r="R46" s="923"/>
      <c r="S46" s="922"/>
      <c r="T46" s="938"/>
    </row>
    <row r="47" spans="1:20" ht="15" x14ac:dyDescent="0.25">
      <c r="A47" s="938"/>
      <c r="B47" s="920"/>
      <c r="C47" s="923"/>
      <c r="D47" s="1061" t="s">
        <v>547</v>
      </c>
      <c r="E47" s="1061"/>
      <c r="F47" s="892"/>
      <c r="G47" s="892"/>
      <c r="H47" s="892"/>
      <c r="I47" s="892"/>
      <c r="J47" s="892"/>
      <c r="K47" s="930"/>
      <c r="L47" s="930"/>
      <c r="M47" s="930"/>
      <c r="N47" s="930"/>
      <c r="O47" s="930"/>
      <c r="P47" s="930"/>
      <c r="Q47" s="930"/>
      <c r="R47" s="923"/>
      <c r="S47" s="922"/>
      <c r="T47" s="938"/>
    </row>
    <row r="48" spans="1:20" ht="15" x14ac:dyDescent="0.25">
      <c r="A48" s="938"/>
      <c r="B48" s="920"/>
      <c r="C48" s="923"/>
      <c r="D48" s="896" t="s">
        <v>546</v>
      </c>
      <c r="E48" s="896"/>
      <c r="F48" s="896"/>
      <c r="G48" s="896"/>
      <c r="H48" s="896"/>
      <c r="I48" s="896"/>
      <c r="J48" s="900">
        <f>'TFG Quotation Template'!H66</f>
        <v>1073.7878787878788</v>
      </c>
      <c r="K48" s="930"/>
      <c r="L48" s="930"/>
      <c r="M48" s="930"/>
      <c r="N48" s="930"/>
      <c r="O48" s="930"/>
      <c r="P48" s="930"/>
      <c r="Q48" s="930"/>
      <c r="R48" s="931"/>
      <c r="S48" s="922"/>
      <c r="T48" s="938"/>
    </row>
    <row r="49" spans="1:20" ht="15" x14ac:dyDescent="0.25">
      <c r="A49" s="938"/>
      <c r="B49" s="920"/>
      <c r="C49" s="923"/>
      <c r="D49" s="896" t="s">
        <v>577</v>
      </c>
      <c r="E49" s="896"/>
      <c r="F49" s="896"/>
      <c r="G49" s="896"/>
      <c r="H49" s="896"/>
      <c r="I49" s="896"/>
      <c r="J49" s="900">
        <f>'TFG Quotation Template'!H81</f>
        <v>103.125</v>
      </c>
      <c r="K49" s="930"/>
      <c r="L49" s="930"/>
      <c r="M49" s="930"/>
      <c r="N49" s="930"/>
      <c r="O49" s="930"/>
      <c r="P49" s="930"/>
      <c r="Q49" s="930"/>
      <c r="R49" s="931"/>
      <c r="S49" s="922"/>
      <c r="T49" s="938"/>
    </row>
    <row r="50" spans="1:20" ht="15" x14ac:dyDescent="0.25">
      <c r="A50" s="938"/>
      <c r="B50" s="920"/>
      <c r="C50" s="923"/>
      <c r="D50" s="896" t="s">
        <v>578</v>
      </c>
      <c r="E50" s="896"/>
      <c r="F50" s="896"/>
      <c r="G50" s="896"/>
      <c r="H50" s="896"/>
      <c r="I50" s="896"/>
      <c r="J50" s="900">
        <f>'TFG Quotation Template'!I87</f>
        <v>0</v>
      </c>
      <c r="K50" s="930"/>
      <c r="L50" s="930"/>
      <c r="M50" s="930"/>
      <c r="N50" s="930"/>
      <c r="O50" s="930"/>
      <c r="P50" s="930"/>
      <c r="Q50" s="930"/>
      <c r="R50" s="931"/>
      <c r="S50" s="922"/>
      <c r="T50" s="938"/>
    </row>
    <row r="51" spans="1:20" ht="15" x14ac:dyDescent="0.25">
      <c r="A51" s="938"/>
      <c r="B51" s="920"/>
      <c r="C51" s="923"/>
      <c r="D51" s="892"/>
      <c r="E51" s="892"/>
      <c r="F51" s="1065" t="s">
        <v>570</v>
      </c>
      <c r="G51" s="1065"/>
      <c r="H51" s="1065"/>
      <c r="I51" s="1066"/>
      <c r="J51" s="899">
        <f>SUM(J48:J50)</f>
        <v>1176.9128787878788</v>
      </c>
      <c r="K51" s="930"/>
      <c r="L51" s="930"/>
      <c r="M51" s="930"/>
      <c r="N51" s="930"/>
      <c r="O51" s="930"/>
      <c r="P51" s="930"/>
      <c r="Q51" s="930"/>
      <c r="R51" s="923"/>
      <c r="S51" s="922"/>
      <c r="T51" s="938"/>
    </row>
    <row r="52" spans="1:20" ht="15" x14ac:dyDescent="0.25">
      <c r="A52" s="938"/>
      <c r="B52" s="920"/>
      <c r="C52" s="923"/>
      <c r="D52" s="892"/>
      <c r="E52" s="892"/>
      <c r="F52" s="892"/>
      <c r="G52" s="892"/>
      <c r="H52" s="892"/>
      <c r="I52" s="892"/>
      <c r="J52" s="892"/>
      <c r="K52" s="930"/>
      <c r="L52" s="930"/>
      <c r="M52" s="930"/>
      <c r="N52" s="930"/>
      <c r="O52" s="930"/>
      <c r="P52" s="930"/>
      <c r="Q52" s="930"/>
      <c r="R52" s="923"/>
      <c r="S52" s="922"/>
      <c r="T52" s="938"/>
    </row>
    <row r="53" spans="1:20" ht="15" x14ac:dyDescent="0.25">
      <c r="A53" s="938"/>
      <c r="B53" s="920"/>
      <c r="C53" s="923"/>
      <c r="D53" s="1059" t="s">
        <v>593</v>
      </c>
      <c r="E53" s="1060"/>
      <c r="F53" s="892"/>
      <c r="G53" s="892"/>
      <c r="H53" s="892"/>
      <c r="I53" s="892"/>
      <c r="J53" s="892"/>
      <c r="K53" s="930"/>
      <c r="L53" s="930"/>
      <c r="M53" s="930"/>
      <c r="N53" s="930"/>
      <c r="O53" s="930"/>
      <c r="P53" s="930"/>
      <c r="Q53" s="930"/>
      <c r="R53" s="923"/>
      <c r="S53" s="922"/>
      <c r="T53" s="938"/>
    </row>
    <row r="54" spans="1:20" ht="15" x14ac:dyDescent="0.25">
      <c r="A54" s="938"/>
      <c r="B54" s="920"/>
      <c r="C54" s="923"/>
      <c r="D54" s="1067" t="s">
        <v>607</v>
      </c>
      <c r="E54" s="1068"/>
      <c r="F54" s="896"/>
      <c r="G54" s="896"/>
      <c r="H54" s="896"/>
      <c r="I54" s="896"/>
      <c r="J54" s="900">
        <f>'TFG Quotation Template'!H100</f>
        <v>0</v>
      </c>
      <c r="K54" s="930"/>
      <c r="L54" s="930"/>
      <c r="M54" s="930"/>
      <c r="N54" s="930"/>
      <c r="O54" s="930"/>
      <c r="P54" s="930"/>
      <c r="Q54" s="930"/>
      <c r="R54" s="923"/>
      <c r="S54" s="922"/>
      <c r="T54" s="938"/>
    </row>
    <row r="55" spans="1:20" ht="15" x14ac:dyDescent="0.25">
      <c r="A55" s="938"/>
      <c r="B55" s="920"/>
      <c r="C55" s="923"/>
      <c r="D55" s="892"/>
      <c r="E55" s="892"/>
      <c r="F55" s="1065" t="s">
        <v>606</v>
      </c>
      <c r="G55" s="1065"/>
      <c r="H55" s="1065"/>
      <c r="I55" s="1066"/>
      <c r="J55" s="899">
        <f>SUM(J54)</f>
        <v>0</v>
      </c>
      <c r="K55" s="930"/>
      <c r="L55" s="930"/>
      <c r="M55" s="930"/>
      <c r="N55" s="930"/>
      <c r="O55" s="930"/>
      <c r="P55" s="930"/>
      <c r="Q55" s="930"/>
      <c r="R55" s="923"/>
      <c r="S55" s="922"/>
      <c r="T55" s="938"/>
    </row>
    <row r="56" spans="1:20" ht="15" x14ac:dyDescent="0.25">
      <c r="A56" s="938"/>
      <c r="B56" s="920"/>
      <c r="C56" s="923"/>
      <c r="D56" s="892"/>
      <c r="E56" s="892"/>
      <c r="F56" s="892"/>
      <c r="G56" s="892"/>
      <c r="H56" s="892"/>
      <c r="I56" s="892"/>
      <c r="J56" s="892"/>
      <c r="K56" s="930"/>
      <c r="L56" s="930"/>
      <c r="M56" s="930"/>
      <c r="N56" s="930"/>
      <c r="O56" s="930"/>
      <c r="P56" s="930"/>
      <c r="Q56" s="930"/>
      <c r="R56" s="923"/>
      <c r="S56" s="922"/>
      <c r="T56" s="938"/>
    </row>
    <row r="57" spans="1:20" ht="15" x14ac:dyDescent="0.25">
      <c r="A57" s="938"/>
      <c r="B57" s="920"/>
      <c r="C57" s="923"/>
      <c r="D57" s="1059" t="s">
        <v>579</v>
      </c>
      <c r="E57" s="1060"/>
      <c r="F57" s="892"/>
      <c r="G57" s="892"/>
      <c r="H57" s="892"/>
      <c r="I57" s="892"/>
      <c r="J57" s="892"/>
      <c r="K57" s="930"/>
      <c r="L57" s="930"/>
      <c r="M57" s="930"/>
      <c r="N57" s="930"/>
      <c r="O57" s="930"/>
      <c r="P57" s="930"/>
      <c r="Q57" s="930"/>
      <c r="R57" s="923"/>
      <c r="S57" s="922"/>
      <c r="T57" s="938"/>
    </row>
    <row r="58" spans="1:20" ht="15" x14ac:dyDescent="0.25">
      <c r="A58" s="938"/>
      <c r="B58" s="920"/>
      <c r="C58" s="923"/>
      <c r="D58" s="896" t="s">
        <v>580</v>
      </c>
      <c r="E58" s="896"/>
      <c r="F58" s="896"/>
      <c r="G58" s="896"/>
      <c r="H58" s="896"/>
      <c r="I58" s="896"/>
      <c r="J58" s="901">
        <f>'TFG Quotation Template'!H125</f>
        <v>415.8</v>
      </c>
      <c r="K58" s="930"/>
      <c r="L58" s="930"/>
      <c r="M58" s="930"/>
      <c r="N58" s="930"/>
      <c r="O58" s="930"/>
      <c r="P58" s="930"/>
      <c r="Q58" s="930"/>
      <c r="R58" s="923"/>
      <c r="S58" s="922"/>
      <c r="T58" s="938"/>
    </row>
    <row r="59" spans="1:20" ht="15" x14ac:dyDescent="0.25">
      <c r="A59" s="938"/>
      <c r="B59" s="920"/>
      <c r="C59" s="923"/>
      <c r="D59" s="896" t="s">
        <v>581</v>
      </c>
      <c r="E59" s="896"/>
      <c r="F59" s="896"/>
      <c r="G59" s="896"/>
      <c r="H59" s="896"/>
      <c r="I59" s="896"/>
      <c r="J59" s="901">
        <f>'TFG Quotation Template'!H146</f>
        <v>0</v>
      </c>
      <c r="K59" s="930"/>
      <c r="L59" s="930"/>
      <c r="M59" s="930"/>
      <c r="N59" s="930"/>
      <c r="O59" s="930"/>
      <c r="P59" s="930"/>
      <c r="Q59" s="930"/>
      <c r="R59" s="931"/>
      <c r="S59" s="922"/>
      <c r="T59" s="938"/>
    </row>
    <row r="60" spans="1:20" ht="15" x14ac:dyDescent="0.25">
      <c r="A60" s="938"/>
      <c r="B60" s="920"/>
      <c r="C60" s="923"/>
      <c r="D60" s="892"/>
      <c r="E60" s="892"/>
      <c r="F60" s="1065" t="s">
        <v>591</v>
      </c>
      <c r="G60" s="1065"/>
      <c r="H60" s="1065"/>
      <c r="I60" s="1066"/>
      <c r="J60" s="899">
        <f>SUM(J58:J59)</f>
        <v>415.8</v>
      </c>
      <c r="K60" s="930"/>
      <c r="L60" s="930"/>
      <c r="M60" s="930"/>
      <c r="N60" s="930"/>
      <c r="O60" s="930"/>
      <c r="P60" s="930"/>
      <c r="Q60" s="930"/>
      <c r="R60" s="931"/>
      <c r="S60" s="922"/>
      <c r="T60" s="938"/>
    </row>
    <row r="61" spans="1:20" ht="15" x14ac:dyDescent="0.25">
      <c r="A61" s="938"/>
      <c r="B61" s="920"/>
      <c r="C61" s="923"/>
      <c r="D61" s="892"/>
      <c r="E61" s="892"/>
      <c r="F61" s="892"/>
      <c r="G61" s="892"/>
      <c r="H61" s="892"/>
      <c r="I61" s="892"/>
      <c r="J61" s="892"/>
      <c r="K61" s="930"/>
      <c r="L61" s="930"/>
      <c r="M61" s="930"/>
      <c r="N61" s="930"/>
      <c r="O61" s="930"/>
      <c r="P61" s="930"/>
      <c r="Q61" s="930"/>
      <c r="R61" s="923"/>
      <c r="S61" s="922"/>
      <c r="T61" s="938"/>
    </row>
    <row r="62" spans="1:20" ht="15" x14ac:dyDescent="0.25">
      <c r="A62" s="938"/>
      <c r="B62" s="920"/>
      <c r="C62" s="923"/>
      <c r="D62" s="1059" t="s">
        <v>484</v>
      </c>
      <c r="E62" s="1060"/>
      <c r="F62" s="892"/>
      <c r="G62" s="892"/>
      <c r="H62" s="892"/>
      <c r="I62" s="892"/>
      <c r="J62" s="892"/>
      <c r="K62" s="930"/>
      <c r="L62" s="930"/>
      <c r="M62" s="930"/>
      <c r="N62" s="930"/>
      <c r="O62" s="930"/>
      <c r="P62" s="930"/>
      <c r="Q62" s="930"/>
      <c r="R62" s="923"/>
      <c r="S62" s="922"/>
      <c r="T62" s="938"/>
    </row>
    <row r="63" spans="1:20" ht="15" x14ac:dyDescent="0.25">
      <c r="A63" s="938"/>
      <c r="B63" s="920"/>
      <c r="C63" s="923"/>
      <c r="D63" s="896" t="str">
        <f>'TFG Quotation Template'!D169</f>
        <v>Sector &amp; Details</v>
      </c>
      <c r="E63" s="896"/>
      <c r="F63" s="896"/>
      <c r="G63" s="896"/>
      <c r="H63" s="896"/>
      <c r="I63" s="896"/>
      <c r="J63" s="900">
        <f>'TFG Quotation Template'!H169</f>
        <v>0</v>
      </c>
      <c r="K63" s="930"/>
      <c r="L63" s="930"/>
      <c r="M63" s="930"/>
      <c r="N63" s="930"/>
      <c r="O63" s="930"/>
      <c r="P63" s="930"/>
      <c r="Q63" s="930"/>
      <c r="R63" s="932"/>
      <c r="S63" s="922"/>
      <c r="T63" s="938"/>
    </row>
    <row r="64" spans="1:20" ht="15" x14ac:dyDescent="0.25">
      <c r="A64" s="938"/>
      <c r="B64" s="920"/>
      <c r="C64" s="923"/>
      <c r="D64" s="892"/>
      <c r="E64" s="902"/>
      <c r="F64" s="1065" t="s">
        <v>571</v>
      </c>
      <c r="G64" s="1065"/>
      <c r="H64" s="1065"/>
      <c r="I64" s="1066"/>
      <c r="J64" s="899">
        <f>SUM(J63)</f>
        <v>0</v>
      </c>
      <c r="K64" s="930"/>
      <c r="L64" s="930"/>
      <c r="M64" s="930"/>
      <c r="N64" s="930"/>
      <c r="O64" s="930"/>
      <c r="P64" s="930"/>
      <c r="Q64" s="930"/>
      <c r="R64" s="932"/>
      <c r="S64" s="922"/>
      <c r="T64" s="938"/>
    </row>
    <row r="65" spans="1:20" ht="15" x14ac:dyDescent="0.25">
      <c r="A65" s="938"/>
      <c r="B65" s="920"/>
      <c r="C65" s="923"/>
      <c r="D65" s="892"/>
      <c r="E65" s="892"/>
      <c r="F65" s="903"/>
      <c r="G65" s="903"/>
      <c r="H65" s="903"/>
      <c r="I65" s="903"/>
      <c r="J65" s="904"/>
      <c r="K65" s="930"/>
      <c r="L65" s="930"/>
      <c r="M65" s="930"/>
      <c r="N65" s="930"/>
      <c r="O65" s="930"/>
      <c r="P65" s="930"/>
      <c r="Q65" s="930"/>
      <c r="R65" s="932"/>
      <c r="S65" s="922"/>
      <c r="T65" s="938"/>
    </row>
    <row r="66" spans="1:20" ht="15" x14ac:dyDescent="0.25">
      <c r="A66" s="938"/>
      <c r="B66" s="920"/>
      <c r="C66" s="923"/>
      <c r="D66" s="892"/>
      <c r="E66" s="892"/>
      <c r="F66" s="892"/>
      <c r="G66" s="892"/>
      <c r="H66" s="892"/>
      <c r="I66" s="892"/>
      <c r="J66" s="905"/>
      <c r="K66" s="930"/>
      <c r="L66" s="930"/>
      <c r="M66" s="930"/>
      <c r="N66" s="930"/>
      <c r="O66" s="930"/>
      <c r="P66" s="930"/>
      <c r="Q66" s="930"/>
      <c r="R66" s="932"/>
      <c r="S66" s="922"/>
      <c r="T66" s="938"/>
    </row>
    <row r="67" spans="1:20" ht="15" x14ac:dyDescent="0.25">
      <c r="A67" s="938"/>
      <c r="B67" s="920"/>
      <c r="C67" s="923"/>
      <c r="D67" s="1059" t="s">
        <v>582</v>
      </c>
      <c r="E67" s="1060"/>
      <c r="F67" s="892"/>
      <c r="G67" s="892"/>
      <c r="H67" s="892"/>
      <c r="I67" s="892"/>
      <c r="J67" s="905"/>
      <c r="K67" s="930"/>
      <c r="L67" s="930"/>
      <c r="M67" s="930"/>
      <c r="N67" s="930"/>
      <c r="O67" s="930"/>
      <c r="P67" s="930"/>
      <c r="Q67" s="930"/>
      <c r="R67" s="932"/>
      <c r="S67" s="922"/>
      <c r="T67" s="938"/>
    </row>
    <row r="68" spans="1:20" ht="15" x14ac:dyDescent="0.25">
      <c r="A68" s="938"/>
      <c r="B68" s="920"/>
      <c r="C68" s="923"/>
      <c r="D68" s="1067" t="s">
        <v>583</v>
      </c>
      <c r="E68" s="1068"/>
      <c r="F68" s="896"/>
      <c r="G68" s="896"/>
      <c r="H68" s="896"/>
      <c r="I68" s="896"/>
      <c r="J68" s="900">
        <f>'TFG Quotation Template'!E200+'TFG Quotation Template'!E198+'TFG Quotation Template'!E193</f>
        <v>-50.39034060606059</v>
      </c>
      <c r="K68" s="930"/>
      <c r="L68" s="512"/>
      <c r="M68" s="930"/>
      <c r="N68" s="930"/>
      <c r="O68" s="930"/>
      <c r="P68" s="930"/>
      <c r="Q68" s="930"/>
      <c r="R68" s="932"/>
      <c r="S68" s="922"/>
      <c r="T68" s="938"/>
    </row>
    <row r="69" spans="1:20" ht="15" x14ac:dyDescent="0.25">
      <c r="A69" s="938"/>
      <c r="B69" s="920"/>
      <c r="C69" s="923"/>
      <c r="D69" s="892"/>
      <c r="E69" s="892"/>
      <c r="F69" s="1065" t="s">
        <v>584</v>
      </c>
      <c r="G69" s="1065"/>
      <c r="H69" s="1065"/>
      <c r="I69" s="1066"/>
      <c r="J69" s="899">
        <f>SUM(J68:J68)</f>
        <v>-50.39034060606059</v>
      </c>
      <c r="K69" s="930"/>
      <c r="L69" s="930"/>
      <c r="M69" s="930"/>
      <c r="N69" s="930"/>
      <c r="O69" s="930"/>
      <c r="P69" s="930"/>
      <c r="Q69" s="930"/>
      <c r="R69" s="923"/>
      <c r="S69" s="922"/>
      <c r="T69" s="938"/>
    </row>
    <row r="70" spans="1:20" ht="15" x14ac:dyDescent="0.25">
      <c r="A70" s="938"/>
      <c r="B70" s="920"/>
      <c r="C70" s="923"/>
      <c r="D70" s="892"/>
      <c r="E70" s="892"/>
      <c r="F70" s="892"/>
      <c r="G70" s="892"/>
      <c r="H70" s="892"/>
      <c r="I70" s="892"/>
      <c r="J70" s="892"/>
      <c r="K70" s="930"/>
      <c r="L70" s="930"/>
      <c r="M70" s="930"/>
      <c r="N70" s="930"/>
      <c r="O70" s="930"/>
      <c r="P70" s="930"/>
      <c r="Q70" s="930"/>
      <c r="R70" s="923"/>
      <c r="S70" s="922"/>
      <c r="T70" s="938"/>
    </row>
    <row r="71" spans="1:20" ht="15" x14ac:dyDescent="0.25">
      <c r="A71" s="938"/>
      <c r="B71" s="920"/>
      <c r="C71" s="923"/>
      <c r="D71" s="892"/>
      <c r="E71" s="892"/>
      <c r="F71" s="892"/>
      <c r="G71" s="892"/>
      <c r="H71" s="892"/>
      <c r="I71" s="892"/>
      <c r="J71" s="892"/>
      <c r="K71" s="930"/>
      <c r="L71" s="930"/>
      <c r="M71" s="930"/>
      <c r="N71" s="930"/>
      <c r="O71" s="930"/>
      <c r="P71" s="930"/>
      <c r="Q71" s="930"/>
      <c r="R71" s="923"/>
      <c r="S71" s="922"/>
      <c r="T71" s="938"/>
    </row>
    <row r="72" spans="1:20" ht="15" x14ac:dyDescent="0.25">
      <c r="A72" s="938"/>
      <c r="B72" s="920"/>
      <c r="C72" s="923"/>
      <c r="D72" s="892"/>
      <c r="E72" s="892"/>
      <c r="F72" s="913"/>
      <c r="G72" s="913"/>
      <c r="H72" s="892"/>
      <c r="I72" s="933" t="s">
        <v>560</v>
      </c>
      <c r="J72" s="934">
        <f>J45+J51+J60+J64+J69+J55</f>
        <v>8419.3900381818203</v>
      </c>
      <c r="K72" s="930"/>
      <c r="L72" s="930"/>
      <c r="M72" s="930"/>
      <c r="N72" s="930"/>
      <c r="O72" s="930"/>
      <c r="P72" s="930"/>
      <c r="Q72" s="930"/>
      <c r="R72" s="931"/>
      <c r="S72" s="922"/>
      <c r="T72" s="938"/>
    </row>
    <row r="73" spans="1:20" ht="15" x14ac:dyDescent="0.2">
      <c r="A73" s="938"/>
      <c r="B73" s="920"/>
      <c r="C73" s="923"/>
      <c r="D73" s="923"/>
      <c r="E73" s="923"/>
      <c r="F73" s="923"/>
      <c r="G73" s="923"/>
      <c r="H73" s="923"/>
      <c r="I73" s="923"/>
      <c r="J73" s="923"/>
      <c r="K73" s="930"/>
      <c r="L73" s="930"/>
      <c r="M73" s="930"/>
      <c r="N73" s="930"/>
      <c r="O73" s="930"/>
      <c r="P73" s="930"/>
      <c r="Q73" s="930"/>
      <c r="R73" s="923"/>
      <c r="S73" s="922"/>
      <c r="T73" s="938"/>
    </row>
    <row r="74" spans="1:20" x14ac:dyDescent="0.2">
      <c r="A74" s="938"/>
      <c r="B74" s="920"/>
      <c r="C74" s="923"/>
      <c r="D74" s="923"/>
      <c r="E74" s="923"/>
      <c r="F74" s="923"/>
      <c r="G74" s="923"/>
      <c r="H74" s="923"/>
      <c r="I74" s="923"/>
      <c r="J74" s="923"/>
      <c r="K74" s="923"/>
      <c r="L74" s="923"/>
      <c r="M74" s="923"/>
      <c r="N74" s="923"/>
      <c r="O74" s="923"/>
      <c r="P74" s="923"/>
      <c r="Q74" s="923"/>
      <c r="R74" s="923"/>
      <c r="S74" s="922"/>
      <c r="T74" s="938"/>
    </row>
    <row r="75" spans="1:20" ht="5.25" customHeight="1" thickBot="1" x14ac:dyDescent="0.25">
      <c r="B75" s="935"/>
      <c r="C75" s="936"/>
      <c r="D75" s="936"/>
      <c r="E75" s="936"/>
      <c r="F75" s="936"/>
      <c r="G75" s="936"/>
      <c r="H75" s="936"/>
      <c r="I75" s="936"/>
      <c r="J75" s="936"/>
      <c r="K75" s="936"/>
      <c r="L75" s="936"/>
      <c r="M75" s="936"/>
      <c r="N75" s="936"/>
      <c r="O75" s="936"/>
      <c r="P75" s="936"/>
      <c r="Q75" s="936"/>
      <c r="R75" s="936"/>
      <c r="S75" s="937"/>
      <c r="T75" s="938"/>
    </row>
    <row r="76" spans="1:20" x14ac:dyDescent="0.2">
      <c r="B76" s="916"/>
      <c r="C76" s="916"/>
      <c r="D76" s="916"/>
      <c r="E76" s="916"/>
      <c r="F76" s="916"/>
      <c r="G76" s="916"/>
      <c r="H76" s="916"/>
      <c r="I76" s="916"/>
      <c r="J76" s="916"/>
      <c r="K76" s="916"/>
      <c r="L76" s="916"/>
      <c r="M76" s="916"/>
      <c r="N76" s="916"/>
      <c r="O76" s="916"/>
      <c r="P76" s="916"/>
      <c r="Q76" s="916"/>
      <c r="R76" s="916"/>
      <c r="S76" s="916"/>
      <c r="T76" s="938"/>
    </row>
    <row r="77" spans="1:20" x14ac:dyDescent="0.2">
      <c r="J77" s="948">
        <f>'TFG Quotation Template'!E201</f>
        <v>8419.3900381818185</v>
      </c>
      <c r="K77" s="948"/>
      <c r="L77" s="948"/>
      <c r="M77" s="948"/>
      <c r="N77" s="948"/>
      <c r="O77" s="948"/>
      <c r="P77" s="948"/>
      <c r="Q77" s="948"/>
      <c r="T77" s="949">
        <f>J77-J72</f>
        <v>0</v>
      </c>
    </row>
    <row r="78" spans="1:20" x14ac:dyDescent="0.2">
      <c r="T78" s="938"/>
    </row>
    <row r="79" spans="1:20" x14ac:dyDescent="0.2">
      <c r="J79" s="940" t="b">
        <f>J77=J72</f>
        <v>1</v>
      </c>
      <c r="T79" s="938"/>
    </row>
    <row r="80" spans="1:20" x14ac:dyDescent="0.2">
      <c r="T80" s="938"/>
    </row>
    <row r="81" spans="20:20" x14ac:dyDescent="0.2">
      <c r="T81" s="938"/>
    </row>
    <row r="82" spans="20:20" x14ac:dyDescent="0.2">
      <c r="T82" s="938"/>
    </row>
    <row r="83" spans="20:20" x14ac:dyDescent="0.2">
      <c r="T83" s="938"/>
    </row>
    <row r="84" spans="20:20" x14ac:dyDescent="0.2">
      <c r="T84" s="938"/>
    </row>
    <row r="85" spans="20:20" x14ac:dyDescent="0.2">
      <c r="T85" s="938"/>
    </row>
    <row r="86" spans="20:20" x14ac:dyDescent="0.2">
      <c r="T86" s="938"/>
    </row>
    <row r="87" spans="20:20" x14ac:dyDescent="0.2">
      <c r="T87" s="938"/>
    </row>
    <row r="88" spans="20:20" x14ac:dyDescent="0.2">
      <c r="T88" s="938"/>
    </row>
    <row r="89" spans="20:20" x14ac:dyDescent="0.2">
      <c r="T89" s="938"/>
    </row>
    <row r="90" spans="20:20" x14ac:dyDescent="0.2">
      <c r="T90" s="938"/>
    </row>
    <row r="91" spans="20:20" x14ac:dyDescent="0.2">
      <c r="T91" s="938"/>
    </row>
    <row r="92" spans="20:20" x14ac:dyDescent="0.2">
      <c r="T92" s="938"/>
    </row>
    <row r="93" spans="20:20" x14ac:dyDescent="0.2">
      <c r="T93" s="938"/>
    </row>
    <row r="94" spans="20:20" x14ac:dyDescent="0.2">
      <c r="T94" s="938"/>
    </row>
    <row r="95" spans="20:20" x14ac:dyDescent="0.2">
      <c r="T95" s="938"/>
    </row>
    <row r="96" spans="20:20" x14ac:dyDescent="0.2">
      <c r="T96" s="938"/>
    </row>
    <row r="97" spans="20:20" x14ac:dyDescent="0.2">
      <c r="T97" s="938"/>
    </row>
    <row r="98" spans="20:20" x14ac:dyDescent="0.2">
      <c r="T98" s="938"/>
    </row>
    <row r="99" spans="20:20" x14ac:dyDescent="0.2">
      <c r="T99" s="938"/>
    </row>
    <row r="100" spans="20:20" x14ac:dyDescent="0.2">
      <c r="T100" s="938"/>
    </row>
    <row r="101" spans="20:20" x14ac:dyDescent="0.2">
      <c r="T101" s="938"/>
    </row>
    <row r="102" spans="20:20" x14ac:dyDescent="0.2">
      <c r="T102" s="938"/>
    </row>
    <row r="103" spans="20:20" x14ac:dyDescent="0.2">
      <c r="T103" s="938"/>
    </row>
    <row r="104" spans="20:20" x14ac:dyDescent="0.2">
      <c r="T104" s="938"/>
    </row>
    <row r="105" spans="20:20" x14ac:dyDescent="0.2">
      <c r="T105" s="938"/>
    </row>
    <row r="106" spans="20:20" x14ac:dyDescent="0.2">
      <c r="T106" s="938"/>
    </row>
    <row r="107" spans="20:20" x14ac:dyDescent="0.2">
      <c r="T107" s="938"/>
    </row>
    <row r="108" spans="20:20" x14ac:dyDescent="0.2">
      <c r="T108" s="938"/>
    </row>
    <row r="109" spans="20:20" x14ac:dyDescent="0.2">
      <c r="T109" s="938"/>
    </row>
    <row r="110" spans="20:20" x14ac:dyDescent="0.2">
      <c r="T110" s="938"/>
    </row>
    <row r="111" spans="20:20" x14ac:dyDescent="0.2">
      <c r="T111" s="938"/>
    </row>
    <row r="112" spans="20:20" x14ac:dyDescent="0.2">
      <c r="T112" s="938"/>
    </row>
    <row r="113" spans="20:20" x14ac:dyDescent="0.2">
      <c r="T113" s="938"/>
    </row>
    <row r="114" spans="20:20" x14ac:dyDescent="0.2">
      <c r="T114" s="938"/>
    </row>
    <row r="115" spans="20:20" x14ac:dyDescent="0.2">
      <c r="T115" s="938"/>
    </row>
    <row r="116" spans="20:20" x14ac:dyDescent="0.2">
      <c r="T116" s="938"/>
    </row>
    <row r="117" spans="20:20" x14ac:dyDescent="0.2">
      <c r="T117" s="938"/>
    </row>
    <row r="118" spans="20:20" x14ac:dyDescent="0.2">
      <c r="T118" s="938"/>
    </row>
    <row r="119" spans="20:20" x14ac:dyDescent="0.2">
      <c r="T119" s="938"/>
    </row>
    <row r="120" spans="20:20" x14ac:dyDescent="0.2">
      <c r="T120" s="938"/>
    </row>
    <row r="121" spans="20:20" x14ac:dyDescent="0.2">
      <c r="T121" s="938"/>
    </row>
    <row r="122" spans="20:20" x14ac:dyDescent="0.2">
      <c r="T122" s="938"/>
    </row>
    <row r="123" spans="20:20" x14ac:dyDescent="0.2">
      <c r="T123" s="938"/>
    </row>
    <row r="124" spans="20:20" x14ac:dyDescent="0.2">
      <c r="T124" s="938"/>
    </row>
    <row r="125" spans="20:20" x14ac:dyDescent="0.2">
      <c r="T125" s="938"/>
    </row>
    <row r="126" spans="20:20" x14ac:dyDescent="0.2">
      <c r="T126" s="938"/>
    </row>
    <row r="127" spans="20:20" x14ac:dyDescent="0.2">
      <c r="T127" s="938"/>
    </row>
    <row r="128" spans="20:20" x14ac:dyDescent="0.2">
      <c r="T128" s="938"/>
    </row>
    <row r="129" spans="20:20" x14ac:dyDescent="0.2">
      <c r="T129" s="938"/>
    </row>
    <row r="130" spans="20:20" x14ac:dyDescent="0.2">
      <c r="T130" s="938"/>
    </row>
    <row r="131" spans="20:20" x14ac:dyDescent="0.2">
      <c r="T131" s="938"/>
    </row>
    <row r="132" spans="20:20" x14ac:dyDescent="0.2">
      <c r="T132" s="938"/>
    </row>
    <row r="133" spans="20:20" x14ac:dyDescent="0.2">
      <c r="T133" s="938"/>
    </row>
    <row r="134" spans="20:20" x14ac:dyDescent="0.2">
      <c r="T134" s="938"/>
    </row>
    <row r="135" spans="20:20" x14ac:dyDescent="0.2">
      <c r="T135" s="938"/>
    </row>
    <row r="136" spans="20:20" x14ac:dyDescent="0.2">
      <c r="T136" s="938"/>
    </row>
    <row r="137" spans="20:20" x14ac:dyDescent="0.2">
      <c r="T137" s="938"/>
    </row>
    <row r="138" spans="20:20" x14ac:dyDescent="0.2">
      <c r="T138" s="938"/>
    </row>
    <row r="139" spans="20:20" x14ac:dyDescent="0.2">
      <c r="T139" s="938"/>
    </row>
    <row r="140" spans="20:20" x14ac:dyDescent="0.2">
      <c r="T140" s="938"/>
    </row>
    <row r="141" spans="20:20" x14ac:dyDescent="0.2">
      <c r="T141" s="938"/>
    </row>
    <row r="142" spans="20:20" x14ac:dyDescent="0.2">
      <c r="T142" s="938"/>
    </row>
    <row r="143" spans="20:20" x14ac:dyDescent="0.2">
      <c r="T143" s="938"/>
    </row>
    <row r="144" spans="20:20" x14ac:dyDescent="0.2">
      <c r="T144" s="938"/>
    </row>
    <row r="145" spans="20:20" x14ac:dyDescent="0.2">
      <c r="T145" s="938"/>
    </row>
    <row r="146" spans="20:20" x14ac:dyDescent="0.2">
      <c r="T146" s="938"/>
    </row>
    <row r="147" spans="20:20" x14ac:dyDescent="0.2">
      <c r="T147" s="938"/>
    </row>
    <row r="148" spans="20:20" x14ac:dyDescent="0.2">
      <c r="T148" s="938"/>
    </row>
    <row r="149" spans="20:20" x14ac:dyDescent="0.2">
      <c r="T149" s="938"/>
    </row>
  </sheetData>
  <sheetProtection algorithmName="SHA-512" hashValue="6y9U3eRAdb/dv+gfa2MRUf0wUnA9wz5RC4lisTs+vNeAdmT2BWMuP/0K1Kdukf/HERy2uOmgYeQafO4qaiA3pQ==" saltValue="TyeqdaLbwhTmwjFpTPZp4g==" spinCount="100000" sheet="1" formatCells="0" formatColumns="0" formatRows="0" insertColumns="0" insertRows="0" insertHyperlinks="0" deleteColumns="0" deleteRows="0" sort="0" autoFilter="0" pivotTables="0"/>
  <mergeCells count="15">
    <mergeCell ref="F69:I69"/>
    <mergeCell ref="D6:Q6"/>
    <mergeCell ref="D13:E13"/>
    <mergeCell ref="F45:I45"/>
    <mergeCell ref="D47:E47"/>
    <mergeCell ref="F51:I51"/>
    <mergeCell ref="D57:E57"/>
    <mergeCell ref="F60:I60"/>
    <mergeCell ref="D62:E62"/>
    <mergeCell ref="F64:I64"/>
    <mergeCell ref="D67:E67"/>
    <mergeCell ref="D68:E68"/>
    <mergeCell ref="D53:E53"/>
    <mergeCell ref="D54:E54"/>
    <mergeCell ref="F55:I55"/>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5"/>
  <sheetViews>
    <sheetView topLeftCell="A3" zoomScale="80" zoomScaleNormal="80" zoomScalePageLayoutView="80" workbookViewId="0">
      <selection activeCell="H15" sqref="H15"/>
    </sheetView>
  </sheetViews>
  <sheetFormatPr defaultColWidth="9.140625" defaultRowHeight="14.1" customHeight="1" x14ac:dyDescent="0.2"/>
  <cols>
    <col min="1" max="1" width="1.42578125" style="325" customWidth="1"/>
    <col min="2" max="2" width="4.85546875" style="325" customWidth="1"/>
    <col min="3" max="3" width="28.7109375" style="325" customWidth="1"/>
    <col min="4" max="4" width="52.7109375" style="325" customWidth="1"/>
    <col min="5" max="5" width="13.42578125" style="526" bestFit="1" customWidth="1"/>
    <col min="6" max="6" width="14.140625" style="526" customWidth="1"/>
    <col min="7" max="7" width="13.42578125" style="527" bestFit="1" customWidth="1"/>
    <col min="8" max="8" width="14.7109375" style="527" customWidth="1"/>
    <col min="9" max="9" width="16.42578125" style="527" customWidth="1"/>
    <col min="10" max="10" width="14.140625" style="332" customWidth="1"/>
    <col min="11" max="11" width="13.28515625" style="325" bestFit="1" customWidth="1"/>
    <col min="12" max="12" width="10.42578125" style="325" bestFit="1" customWidth="1"/>
    <col min="13" max="13" width="10.140625" style="325" bestFit="1" customWidth="1"/>
    <col min="14" max="14" width="10.140625" style="325" customWidth="1"/>
    <col min="15" max="15" width="12.7109375" style="325" bestFit="1" customWidth="1"/>
    <col min="16" max="16" width="14.42578125" style="325" customWidth="1"/>
    <col min="17" max="17" width="2.140625" style="325" customWidth="1"/>
    <col min="18" max="22" width="15.42578125" style="325" customWidth="1"/>
    <col min="23" max="23" width="1.140625" style="325" customWidth="1"/>
    <col min="24" max="29" width="15.42578125" style="325" customWidth="1"/>
    <col min="30" max="30" width="4" style="325" customWidth="1"/>
    <col min="31" max="31" width="1.42578125" style="325" customWidth="1"/>
    <col min="32" max="32" width="5.85546875" style="325" customWidth="1"/>
    <col min="33" max="33" width="5.42578125" style="325" customWidth="1"/>
    <col min="34" max="34" width="2.140625" style="325" customWidth="1"/>
    <col min="35" max="35" width="17.28515625" style="325" customWidth="1"/>
    <col min="36" max="36" width="7" style="325" customWidth="1"/>
    <col min="37" max="39" width="8.7109375" style="325" customWidth="1"/>
    <col min="40" max="40" width="9.140625" style="325" customWidth="1"/>
    <col min="41" max="41" width="15.42578125" style="325" customWidth="1"/>
    <col min="42" max="42" width="10.7109375" style="325" customWidth="1"/>
    <col min="43" max="43" width="11.140625" style="325" customWidth="1"/>
    <col min="44" max="16384" width="9.140625" style="325"/>
  </cols>
  <sheetData>
    <row r="1" spans="1:45" ht="14.1" customHeight="1" thickBot="1" x14ac:dyDescent="0.25">
      <c r="A1" s="322"/>
      <c r="B1" s="323"/>
      <c r="C1" s="323"/>
      <c r="D1" s="323"/>
      <c r="E1" s="523"/>
      <c r="F1" s="523"/>
      <c r="G1" s="524"/>
      <c r="H1" s="524"/>
      <c r="I1" s="524"/>
      <c r="J1" s="324"/>
      <c r="K1" s="323"/>
      <c r="L1" s="323"/>
      <c r="M1" s="323"/>
      <c r="N1" s="323"/>
      <c r="O1" s="323"/>
      <c r="P1" s="323"/>
    </row>
    <row r="2" spans="1:45" ht="29.25" thickBot="1" x14ac:dyDescent="0.25">
      <c r="A2" s="326"/>
      <c r="B2" s="1139" t="s">
        <v>421</v>
      </c>
      <c r="C2" s="1140"/>
      <c r="D2" s="1140"/>
      <c r="E2" s="1140"/>
      <c r="F2" s="1140"/>
      <c r="G2" s="1140"/>
      <c r="H2" s="1140"/>
      <c r="I2" s="1140"/>
      <c r="J2" s="1140"/>
      <c r="K2" s="1140"/>
      <c r="L2" s="1140"/>
      <c r="M2" s="1140"/>
      <c r="N2" s="1140"/>
      <c r="O2" s="1140"/>
      <c r="P2" s="1140"/>
      <c r="Q2" s="1140"/>
      <c r="R2" s="1140"/>
      <c r="S2" s="1140"/>
      <c r="T2" s="1140"/>
      <c r="U2" s="1140"/>
      <c r="V2" s="1140"/>
      <c r="W2" s="1140"/>
      <c r="X2" s="1140"/>
      <c r="Y2" s="1140"/>
      <c r="Z2" s="1140"/>
      <c r="AA2" s="1140"/>
      <c r="AB2" s="1140"/>
      <c r="AC2" s="1140"/>
      <c r="AD2" s="1140"/>
      <c r="AE2" s="1140"/>
      <c r="AF2" s="1140"/>
      <c r="AG2" s="1140"/>
      <c r="AH2" s="1140"/>
      <c r="AI2" s="1140"/>
      <c r="AJ2" s="1140"/>
      <c r="AK2" s="1141"/>
    </row>
    <row r="3" spans="1:45" ht="29.25" thickBot="1" x14ac:dyDescent="0.25">
      <c r="A3" s="326"/>
      <c r="B3" s="327" t="s">
        <v>494</v>
      </c>
      <c r="C3" s="328"/>
      <c r="D3" s="328" t="s">
        <v>493</v>
      </c>
      <c r="E3" s="525"/>
      <c r="F3" s="525"/>
      <c r="G3" s="525"/>
      <c r="H3" s="525"/>
      <c r="I3" s="525"/>
      <c r="J3" s="328"/>
      <c r="K3" s="328"/>
      <c r="L3" s="328"/>
      <c r="M3" s="328"/>
      <c r="N3" s="328"/>
      <c r="O3" s="328"/>
      <c r="P3" s="328"/>
      <c r="Q3" s="328"/>
      <c r="R3" s="328"/>
      <c r="S3" s="328"/>
      <c r="T3" s="328"/>
      <c r="U3" s="328"/>
      <c r="V3" s="328"/>
      <c r="W3" s="328"/>
      <c r="X3" s="328"/>
      <c r="Y3" s="328"/>
      <c r="Z3" s="328"/>
      <c r="AA3" s="328"/>
      <c r="AB3" s="328"/>
      <c r="AC3" s="492"/>
      <c r="AD3" s="328"/>
      <c r="AE3" s="328"/>
      <c r="AF3" s="328"/>
      <c r="AG3" s="328"/>
      <c r="AH3" s="328"/>
      <c r="AI3" s="328"/>
      <c r="AJ3" s="328"/>
      <c r="AK3" s="329"/>
    </row>
    <row r="4" spans="1:45" ht="14.1" customHeight="1" thickBot="1" x14ac:dyDescent="0.25">
      <c r="A4" s="326"/>
      <c r="B4" s="330"/>
    </row>
    <row r="5" spans="1:45" ht="14.1" customHeight="1" thickBot="1" x14ac:dyDescent="0.25">
      <c r="A5" s="326"/>
      <c r="B5" s="1142" t="s">
        <v>399</v>
      </c>
      <c r="C5" s="1143"/>
      <c r="D5" s="1143"/>
      <c r="E5" s="1143"/>
      <c r="F5" s="1143"/>
      <c r="G5" s="1143"/>
      <c r="H5" s="1143"/>
      <c r="I5" s="1143"/>
      <c r="J5" s="1143"/>
      <c r="K5" s="1144"/>
    </row>
    <row r="6" spans="1:45" ht="14.1" customHeight="1" x14ac:dyDescent="0.2">
      <c r="A6" s="326"/>
      <c r="B6" s="1145" t="s">
        <v>389</v>
      </c>
      <c r="C6" s="1146"/>
      <c r="D6" s="333" t="s">
        <v>407</v>
      </c>
      <c r="E6" s="1147" t="s">
        <v>408</v>
      </c>
      <c r="F6" s="1148"/>
      <c r="G6" s="528">
        <v>3</v>
      </c>
      <c r="J6" s="325"/>
      <c r="K6" s="334"/>
    </row>
    <row r="7" spans="1:45" ht="26.25" x14ac:dyDescent="0.2">
      <c r="A7" s="326"/>
      <c r="B7" s="1149" t="s">
        <v>502</v>
      </c>
      <c r="C7" s="1150"/>
      <c r="D7" s="446" t="s">
        <v>531</v>
      </c>
      <c r="E7" s="1151" t="s">
        <v>387</v>
      </c>
      <c r="F7" s="1152"/>
      <c r="G7" s="529">
        <v>1</v>
      </c>
      <c r="H7" s="530" t="s">
        <v>388</v>
      </c>
      <c r="I7" s="529"/>
      <c r="K7" s="334"/>
    </row>
    <row r="8" spans="1:45" ht="14.1" customHeight="1" thickBot="1" x14ac:dyDescent="0.25">
      <c r="A8" s="326"/>
      <c r="B8" s="1130" t="s">
        <v>504</v>
      </c>
      <c r="C8" s="1131"/>
      <c r="D8" s="335" t="s">
        <v>449</v>
      </c>
      <c r="E8" s="1132" t="s">
        <v>398</v>
      </c>
      <c r="F8" s="1133"/>
      <c r="G8" s="531">
        <v>4</v>
      </c>
      <c r="H8" s="532"/>
      <c r="I8" s="532"/>
      <c r="J8" s="336"/>
      <c r="K8" s="337"/>
    </row>
    <row r="9" spans="1:45" ht="14.1" customHeight="1" x14ac:dyDescent="0.2">
      <c r="A9" s="326"/>
      <c r="B9" s="332"/>
      <c r="C9" s="332"/>
      <c r="D9" s="332"/>
      <c r="E9" s="527"/>
      <c r="F9" s="527"/>
      <c r="J9" s="325"/>
    </row>
    <row r="10" spans="1:45" ht="14.1" customHeight="1" thickBot="1" x14ac:dyDescent="0.25">
      <c r="A10" s="332"/>
      <c r="B10" s="332"/>
      <c r="C10" s="332"/>
      <c r="D10" s="332"/>
      <c r="E10" s="527"/>
      <c r="F10" s="527"/>
      <c r="J10" s="325"/>
    </row>
    <row r="11" spans="1:45" ht="14.1" customHeight="1" thickBot="1" x14ac:dyDescent="0.25">
      <c r="A11" s="326"/>
      <c r="B11" s="330"/>
      <c r="F11" s="527"/>
      <c r="R11" s="1134" t="s">
        <v>452</v>
      </c>
      <c r="S11" s="1134"/>
      <c r="T11" s="1134"/>
      <c r="U11" s="1134"/>
      <c r="V11" s="1134"/>
      <c r="W11" s="318"/>
      <c r="X11" s="1135" t="s">
        <v>453</v>
      </c>
      <c r="Y11" s="1135"/>
      <c r="Z11" s="1135"/>
      <c r="AA11" s="1135"/>
      <c r="AB11" s="1135"/>
      <c r="AC11" s="493"/>
      <c r="AE11" s="1136" t="s">
        <v>464</v>
      </c>
      <c r="AF11" s="1137"/>
      <c r="AG11" s="1137"/>
      <c r="AH11" s="1137"/>
      <c r="AI11" s="1137"/>
      <c r="AJ11" s="1137"/>
      <c r="AK11" s="1138"/>
    </row>
    <row r="12" spans="1:45" ht="15.75" thickBot="1" x14ac:dyDescent="0.25">
      <c r="B12" s="1125" t="s">
        <v>428</v>
      </c>
      <c r="C12" s="1126"/>
      <c r="D12" s="1126"/>
      <c r="E12" s="1126"/>
      <c r="F12" s="1126"/>
      <c r="G12" s="1126"/>
      <c r="H12" s="1126"/>
      <c r="I12" s="1126"/>
      <c r="J12" s="1126"/>
      <c r="K12" s="1126"/>
      <c r="L12" s="1126"/>
      <c r="M12" s="1126"/>
      <c r="N12" s="1126"/>
      <c r="O12" s="1126"/>
      <c r="P12" s="1127"/>
      <c r="R12" s="1128" t="s">
        <v>442</v>
      </c>
      <c r="S12" s="1128"/>
      <c r="T12" s="1128"/>
      <c r="U12" s="1128" t="s">
        <v>243</v>
      </c>
      <c r="V12" s="1128"/>
      <c r="W12" s="318"/>
      <c r="X12" s="1128" t="s">
        <v>442</v>
      </c>
      <c r="Y12" s="1128"/>
      <c r="Z12" s="1128"/>
      <c r="AA12" s="1128" t="s">
        <v>243</v>
      </c>
      <c r="AB12" s="1128"/>
      <c r="AC12" s="494"/>
      <c r="AE12" s="443"/>
      <c r="AF12" s="1108" t="s">
        <v>475</v>
      </c>
      <c r="AG12" s="1108"/>
      <c r="AH12" s="1108"/>
      <c r="AI12" s="1108"/>
      <c r="AJ12" s="1108"/>
      <c r="AK12" s="1108"/>
    </row>
    <row r="13" spans="1:45" ht="14.1" customHeight="1" thickBot="1" x14ac:dyDescent="0.25">
      <c r="A13" s="326"/>
      <c r="B13" s="1109" t="s">
        <v>379</v>
      </c>
      <c r="C13" s="1111" t="s">
        <v>374</v>
      </c>
      <c r="D13" s="1113" t="s">
        <v>429</v>
      </c>
      <c r="E13" s="1115" t="s">
        <v>0</v>
      </c>
      <c r="F13" s="1117" t="s">
        <v>394</v>
      </c>
      <c r="G13" s="1118"/>
      <c r="H13" s="1121" t="s">
        <v>440</v>
      </c>
      <c r="I13" s="1117" t="s">
        <v>375</v>
      </c>
      <c r="J13" s="1123" t="s">
        <v>395</v>
      </c>
      <c r="K13" s="1095" t="s">
        <v>416</v>
      </c>
      <c r="L13" s="1096"/>
      <c r="M13" s="1097"/>
      <c r="N13" s="1105" t="s">
        <v>417</v>
      </c>
      <c r="O13" s="1106"/>
      <c r="P13" s="1107"/>
      <c r="R13" s="980" t="s">
        <v>407</v>
      </c>
      <c r="S13" s="980" t="s">
        <v>443</v>
      </c>
      <c r="T13" s="980" t="s">
        <v>444</v>
      </c>
      <c r="U13" s="980" t="s">
        <v>529</v>
      </c>
      <c r="V13" s="980" t="s">
        <v>530</v>
      </c>
      <c r="W13" s="318"/>
      <c r="X13" s="980" t="s">
        <v>407</v>
      </c>
      <c r="Y13" s="980" t="s">
        <v>443</v>
      </c>
      <c r="Z13" s="980" t="s">
        <v>444</v>
      </c>
      <c r="AA13" s="980" t="s">
        <v>529</v>
      </c>
      <c r="AB13" s="980" t="s">
        <v>531</v>
      </c>
      <c r="AC13" s="495"/>
      <c r="AE13" s="443"/>
      <c r="AF13" s="1129"/>
      <c r="AG13" s="1129"/>
      <c r="AH13" s="1129"/>
      <c r="AI13" s="1129"/>
      <c r="AJ13" s="1129"/>
      <c r="AK13" s="1129"/>
    </row>
    <row r="14" spans="1:45" ht="14.1" customHeight="1" thickBot="1" x14ac:dyDescent="0.25">
      <c r="A14" s="326"/>
      <c r="B14" s="1110"/>
      <c r="C14" s="1112"/>
      <c r="D14" s="1114"/>
      <c r="E14" s="1116"/>
      <c r="F14" s="1119"/>
      <c r="G14" s="1120"/>
      <c r="H14" s="1122"/>
      <c r="I14" s="1119"/>
      <c r="J14" s="1124"/>
      <c r="K14" s="485" t="s">
        <v>376</v>
      </c>
      <c r="L14" s="484" t="s">
        <v>377</v>
      </c>
      <c r="M14" s="483" t="s">
        <v>378</v>
      </c>
      <c r="N14" s="484" t="s">
        <v>376</v>
      </c>
      <c r="O14" s="484" t="s">
        <v>377</v>
      </c>
      <c r="P14" s="483" t="s">
        <v>378</v>
      </c>
      <c r="R14" s="980"/>
      <c r="S14" s="980"/>
      <c r="T14" s="980"/>
      <c r="U14" s="980"/>
      <c r="V14" s="980"/>
      <c r="W14" s="318"/>
      <c r="X14" s="980"/>
      <c r="Y14" s="980"/>
      <c r="Z14" s="980"/>
      <c r="AA14" s="980"/>
      <c r="AB14" s="980"/>
      <c r="AC14" s="495"/>
      <c r="AE14" s="443"/>
      <c r="AF14" s="499" t="s">
        <v>469</v>
      </c>
      <c r="AG14" s="499"/>
      <c r="AH14" s="499"/>
      <c r="AI14" s="499"/>
      <c r="AJ14" s="499"/>
      <c r="AK14" s="499"/>
    </row>
    <row r="15" spans="1:45" ht="14.1" customHeight="1" x14ac:dyDescent="0.25">
      <c r="A15" s="326"/>
      <c r="B15" s="447">
        <v>1</v>
      </c>
      <c r="C15" s="455">
        <v>42827</v>
      </c>
      <c r="D15" s="456"/>
      <c r="E15" s="533">
        <v>120</v>
      </c>
      <c r="F15" s="1102" t="s">
        <v>509</v>
      </c>
      <c r="G15" s="1102"/>
      <c r="H15" s="534" t="s">
        <v>424</v>
      </c>
      <c r="I15" s="535" t="s">
        <v>510</v>
      </c>
      <c r="J15" s="450"/>
      <c r="K15" s="451">
        <v>100</v>
      </c>
      <c r="L15" s="451"/>
      <c r="M15" s="451"/>
      <c r="N15" s="451"/>
      <c r="O15" s="452"/>
      <c r="P15" s="451">
        <v>0</v>
      </c>
      <c r="R15" s="490">
        <f>IF(H15=$AF$21,(K15+L15+M15)*(1+$AG$21),IF(H15=$AF$20,(K15+L15+M15)*(1+$AG$20),IF(H15=$AF$19,(K15+L15+M15)*(1+$AG$19),IF(H15=$AF$18,(K15+L15+M15)*(1+$AG$18),(K15+L15+M15)*(1+$AG$17)))))</f>
        <v>90</v>
      </c>
      <c r="S15" s="489">
        <f t="shared" ref="S15:S38" si="0">((R15-(R15-K15-L15-M15))*(USA))+R15</f>
        <v>98</v>
      </c>
      <c r="T15" s="489">
        <f>((R15-(R15-K15-L15-M15))*($AJ$19))+R15</f>
        <v>99</v>
      </c>
      <c r="U15" s="489">
        <f>((R15-(R15-K15-L15-M15))*($AJ$20))+R15</f>
        <v>100</v>
      </c>
      <c r="V15" s="489">
        <f>((R15-(R15-K15-L15-M15))*($AJ$21))+R15</f>
        <v>100</v>
      </c>
      <c r="W15" s="319"/>
      <c r="X15" s="489">
        <f>IF(H15=$AF$21,(N15+O15+P15)*(1+$AG$21),IF(H15=$AF$20,(N15+O15+P15)*(1+$AG$20),IF(H15=$AF$19,(N15+O15+P15)*(1+$AG$19),IF(H15=$AF$18,(N15+O15+P15)*(1+$AG$18),(N15+O15+P15)*(1+$AG$17)))))</f>
        <v>0</v>
      </c>
      <c r="Y15" s="489">
        <f t="shared" ref="Y15:Y38" si="1">((X15-(X15-N15-O15-P15))*(USA))+X15</f>
        <v>0</v>
      </c>
      <c r="Z15" s="489">
        <f>((X15-(X15-N15-O15-P15))*($AJ$19))+X15</f>
        <v>0</v>
      </c>
      <c r="AA15" s="489">
        <f>((X15-(X15-N15-O15-P15))*($AJ$20))+X15</f>
        <v>0</v>
      </c>
      <c r="AB15" s="489">
        <f>((X15-(X15-N15-O15-P15))*($AJ$21))+X15</f>
        <v>0</v>
      </c>
      <c r="AC15" s="496"/>
      <c r="AE15" s="443"/>
      <c r="AF15" s="443" t="s">
        <v>465</v>
      </c>
      <c r="AG15" s="443"/>
      <c r="AH15" s="443"/>
      <c r="AI15" s="443"/>
      <c r="AJ15" s="443"/>
      <c r="AK15" s="443"/>
      <c r="AP15" s="325" t="s">
        <v>384</v>
      </c>
      <c r="AQ15" s="325" t="s">
        <v>385</v>
      </c>
      <c r="AR15" s="325" t="s">
        <v>386</v>
      </c>
      <c r="AS15" s="325" t="s">
        <v>424</v>
      </c>
    </row>
    <row r="16" spans="1:45" ht="14.1" customHeight="1" x14ac:dyDescent="0.25">
      <c r="A16" s="326"/>
      <c r="B16" s="457">
        <v>2</v>
      </c>
      <c r="C16" s="455">
        <v>42828</v>
      </c>
      <c r="D16" s="456"/>
      <c r="E16" s="533">
        <v>240</v>
      </c>
      <c r="F16" s="1102" t="s">
        <v>499</v>
      </c>
      <c r="G16" s="1102"/>
      <c r="H16" s="536" t="s">
        <v>386</v>
      </c>
      <c r="I16" s="535" t="s">
        <v>511</v>
      </c>
      <c r="J16" s="449"/>
      <c r="K16" s="453">
        <v>100</v>
      </c>
      <c r="L16" s="453"/>
      <c r="M16" s="453"/>
      <c r="N16" s="453"/>
      <c r="O16" s="452"/>
      <c r="P16" s="454">
        <v>0</v>
      </c>
      <c r="R16" s="490">
        <f t="shared" ref="R16:R42" si="2">IF(H16=$AF$21,(K16+L16+M16)*(1+$AG$21),IF(H16=$AF$20,(K16+L16+M16)*(1+$AG$20),IF(H16=$AF$19,(K16+L16+M16)*(1+$AG$19),IF(H16=$AF$18,(K16+L16+M16)*(1+$AG$18),(K16+L16+M16)*(1+$AG$17)))))</f>
        <v>85</v>
      </c>
      <c r="S16" s="490">
        <f t="shared" si="0"/>
        <v>93</v>
      </c>
      <c r="T16" s="490">
        <f t="shared" ref="T16:T41" si="3">((R16-(R16-K16-L16-M16))*($AJ$19))+R16</f>
        <v>94</v>
      </c>
      <c r="U16" s="490">
        <f t="shared" ref="U16:U41" si="4">((R16-(R16-K16-L16-M16))*($AJ$20))+R16</f>
        <v>95</v>
      </c>
      <c r="V16" s="489">
        <f t="shared" ref="V16:V42" si="5">((R16-(R16-K16-L16-M16))*($AJ$21))+R16</f>
        <v>95</v>
      </c>
      <c r="W16" s="319"/>
      <c r="X16" s="489">
        <f t="shared" ref="X16:X42" si="6">IF(H16=$AF$21,(N16+O16+P16)*(1+$AG$21),IF(H16=$AF$20,(N16+O16+P16)*(1+$AG$20),IF(H16=$AF$19,(N16+O16+P16)*(1+$AG$19),IF(H16=$AF$18,(N16+O16+P16)*(1+$AG$18),(N16+O16+P16)*(1+$AG$17)))))</f>
        <v>0</v>
      </c>
      <c r="Y16" s="490">
        <f t="shared" si="1"/>
        <v>0</v>
      </c>
      <c r="Z16" s="490">
        <f t="shared" ref="Z16:Z41" si="7">((X16-(X16-N16-O16-P16))*($AJ$19))+X16</f>
        <v>0</v>
      </c>
      <c r="AA16" s="490">
        <f t="shared" ref="AA16:AA41" si="8">((X16-(X16-N16-O16-P16))*($AJ$20))+X16</f>
        <v>0</v>
      </c>
      <c r="AB16" s="489">
        <f t="shared" ref="AB16:AB41" si="9">((X16-(X16-N16-O16-P16))*($AJ$21))+X16</f>
        <v>0</v>
      </c>
      <c r="AC16" s="497"/>
      <c r="AE16" s="443"/>
      <c r="AF16" s="500" t="s">
        <v>441</v>
      </c>
      <c r="AG16" s="466"/>
      <c r="AH16" s="443"/>
      <c r="AI16" s="500" t="s">
        <v>446</v>
      </c>
      <c r="AJ16" s="466"/>
      <c r="AK16" s="443"/>
      <c r="AO16" s="318" t="s">
        <v>506</v>
      </c>
      <c r="AP16" s="668">
        <v>7.4999999999999997E-2</v>
      </c>
      <c r="AQ16" s="668"/>
      <c r="AR16" s="668"/>
      <c r="AS16" s="668"/>
    </row>
    <row r="17" spans="1:45" ht="14.1" customHeight="1" x14ac:dyDescent="0.25">
      <c r="A17" s="326"/>
      <c r="B17" s="457">
        <v>3</v>
      </c>
      <c r="C17" s="455">
        <v>42829</v>
      </c>
      <c r="D17" s="448"/>
      <c r="E17" s="533">
        <v>100</v>
      </c>
      <c r="F17" s="1102" t="s">
        <v>499</v>
      </c>
      <c r="G17" s="1102"/>
      <c r="H17" s="536" t="s">
        <v>384</v>
      </c>
      <c r="I17" s="535"/>
      <c r="J17" s="450"/>
      <c r="K17" s="451"/>
      <c r="L17" s="451">
        <v>200</v>
      </c>
      <c r="M17" s="451"/>
      <c r="N17" s="451"/>
      <c r="O17" s="452"/>
      <c r="P17" s="454">
        <v>0</v>
      </c>
      <c r="R17" s="490">
        <f t="shared" si="2"/>
        <v>250</v>
      </c>
      <c r="S17" s="490">
        <f t="shared" si="0"/>
        <v>266</v>
      </c>
      <c r="T17" s="490">
        <f t="shared" si="3"/>
        <v>268</v>
      </c>
      <c r="U17" s="490">
        <f t="shared" si="4"/>
        <v>270</v>
      </c>
      <c r="V17" s="489">
        <f t="shared" si="5"/>
        <v>270</v>
      </c>
      <c r="W17" s="319"/>
      <c r="X17" s="489">
        <f t="shared" si="6"/>
        <v>0</v>
      </c>
      <c r="Y17" s="490">
        <f t="shared" si="1"/>
        <v>0</v>
      </c>
      <c r="Z17" s="490">
        <f t="shared" si="7"/>
        <v>0</v>
      </c>
      <c r="AA17" s="490">
        <f t="shared" si="8"/>
        <v>0</v>
      </c>
      <c r="AB17" s="489">
        <f t="shared" si="9"/>
        <v>0</v>
      </c>
      <c r="AC17" s="497"/>
      <c r="AE17" s="443"/>
      <c r="AF17" s="500" t="s">
        <v>384</v>
      </c>
      <c r="AG17" s="501">
        <f>IF(AF17="A",$AP$25,IF(AF17="B",$AP$26,IF(AF17="C",$AP$27,$AP$28)))</f>
        <v>0.25</v>
      </c>
      <c r="AH17" s="443"/>
      <c r="AI17" s="500" t="s">
        <v>506</v>
      </c>
      <c r="AJ17" s="501">
        <v>0.05</v>
      </c>
      <c r="AK17" s="443"/>
      <c r="AL17" s="406"/>
      <c r="AM17" s="406"/>
      <c r="AO17" s="318" t="s">
        <v>507</v>
      </c>
      <c r="AP17" s="668">
        <v>0.125</v>
      </c>
      <c r="AQ17" s="668"/>
      <c r="AR17" s="669"/>
      <c r="AS17" s="668"/>
    </row>
    <row r="18" spans="1:45" ht="14.1" customHeight="1" x14ac:dyDescent="0.25">
      <c r="A18" s="326"/>
      <c r="B18" s="457">
        <v>4</v>
      </c>
      <c r="C18" s="455">
        <v>42830</v>
      </c>
      <c r="D18" s="456"/>
      <c r="E18" s="533">
        <v>100</v>
      </c>
      <c r="F18" s="1102" t="s">
        <v>499</v>
      </c>
      <c r="G18" s="1102"/>
      <c r="H18" s="536" t="s">
        <v>385</v>
      </c>
      <c r="I18" s="535"/>
      <c r="J18" s="449"/>
      <c r="K18" s="453"/>
      <c r="L18" s="453"/>
      <c r="M18" s="453">
        <v>300</v>
      </c>
      <c r="N18" s="453"/>
      <c r="O18" s="452"/>
      <c r="P18" s="454">
        <v>0</v>
      </c>
      <c r="R18" s="490">
        <f t="shared" si="2"/>
        <v>240</v>
      </c>
      <c r="S18" s="490">
        <f t="shared" si="0"/>
        <v>264</v>
      </c>
      <c r="T18" s="490">
        <f t="shared" si="3"/>
        <v>267</v>
      </c>
      <c r="U18" s="490">
        <f t="shared" si="4"/>
        <v>270</v>
      </c>
      <c r="V18" s="489">
        <f t="shared" si="5"/>
        <v>270</v>
      </c>
      <c r="W18" s="319"/>
      <c r="X18" s="489">
        <f t="shared" si="6"/>
        <v>0</v>
      </c>
      <c r="Y18" s="490">
        <f t="shared" si="1"/>
        <v>0</v>
      </c>
      <c r="Z18" s="490">
        <f t="shared" si="7"/>
        <v>0</v>
      </c>
      <c r="AA18" s="490">
        <f t="shared" si="8"/>
        <v>0</v>
      </c>
      <c r="AB18" s="489">
        <f t="shared" si="9"/>
        <v>0</v>
      </c>
      <c r="AC18" s="497"/>
      <c r="AE18" s="443"/>
      <c r="AF18" s="500" t="s">
        <v>385</v>
      </c>
      <c r="AG18" s="501">
        <v>-0.2</v>
      </c>
      <c r="AH18" s="443"/>
      <c r="AI18" s="500" t="s">
        <v>507</v>
      </c>
      <c r="AJ18" s="501">
        <v>0.08</v>
      </c>
      <c r="AK18" s="443"/>
      <c r="AL18" s="406"/>
      <c r="AM18" s="406"/>
      <c r="AO18" s="318" t="s">
        <v>508</v>
      </c>
      <c r="AP18" s="668">
        <v>0.125</v>
      </c>
      <c r="AQ18" s="668"/>
      <c r="AR18" s="669"/>
      <c r="AS18" s="668"/>
    </row>
    <row r="19" spans="1:45" ht="14.1" customHeight="1" x14ac:dyDescent="0.25">
      <c r="A19" s="326"/>
      <c r="B19" s="457">
        <v>5</v>
      </c>
      <c r="C19" s="455">
        <v>42831</v>
      </c>
      <c r="D19" s="456"/>
      <c r="E19" s="533">
        <v>100</v>
      </c>
      <c r="F19" s="1102" t="s">
        <v>499</v>
      </c>
      <c r="G19" s="1102"/>
      <c r="H19" s="534" t="s">
        <v>386</v>
      </c>
      <c r="I19" s="535"/>
      <c r="J19" s="449"/>
      <c r="K19" s="453"/>
      <c r="L19" s="453"/>
      <c r="M19" s="453"/>
      <c r="N19" s="453"/>
      <c r="O19" s="452"/>
      <c r="P19" s="454">
        <v>500</v>
      </c>
      <c r="R19" s="490">
        <f t="shared" si="2"/>
        <v>0</v>
      </c>
      <c r="S19" s="490">
        <f t="shared" si="0"/>
        <v>0</v>
      </c>
      <c r="T19" s="490">
        <f t="shared" si="3"/>
        <v>0</v>
      </c>
      <c r="U19" s="490">
        <f t="shared" si="4"/>
        <v>0</v>
      </c>
      <c r="V19" s="489">
        <f t="shared" si="5"/>
        <v>0</v>
      </c>
      <c r="W19" s="319"/>
      <c r="X19" s="489">
        <f t="shared" si="6"/>
        <v>425</v>
      </c>
      <c r="Y19" s="490">
        <f t="shared" si="1"/>
        <v>465</v>
      </c>
      <c r="Z19" s="490">
        <f t="shared" si="7"/>
        <v>470</v>
      </c>
      <c r="AA19" s="490">
        <f t="shared" si="8"/>
        <v>475</v>
      </c>
      <c r="AB19" s="489">
        <f t="shared" si="9"/>
        <v>475</v>
      </c>
      <c r="AC19" s="497"/>
      <c r="AE19" s="443"/>
      <c r="AF19" s="500" t="s">
        <v>386</v>
      </c>
      <c r="AG19" s="502">
        <v>-0.15</v>
      </c>
      <c r="AH19" s="443"/>
      <c r="AI19" s="500" t="s">
        <v>508</v>
      </c>
      <c r="AJ19" s="502">
        <v>0.09</v>
      </c>
      <c r="AK19" s="443"/>
      <c r="AL19" s="406"/>
      <c r="AM19" s="406"/>
      <c r="AO19" s="318" t="s">
        <v>529</v>
      </c>
      <c r="AP19" s="668"/>
      <c r="AQ19" s="668"/>
      <c r="AR19" s="669"/>
      <c r="AS19" s="668"/>
    </row>
    <row r="20" spans="1:45" ht="14.1" customHeight="1" x14ac:dyDescent="0.25">
      <c r="A20" s="326"/>
      <c r="B20" s="457">
        <v>6</v>
      </c>
      <c r="C20" s="455">
        <v>42832</v>
      </c>
      <c r="D20" s="456"/>
      <c r="E20" s="533">
        <v>340</v>
      </c>
      <c r="F20" s="1102" t="s">
        <v>500</v>
      </c>
      <c r="G20" s="1102"/>
      <c r="H20" s="537"/>
      <c r="I20" s="538"/>
      <c r="J20" s="345"/>
      <c r="K20" s="343"/>
      <c r="L20" s="343"/>
      <c r="M20" s="343"/>
      <c r="N20" s="343"/>
      <c r="O20" s="340">
        <v>400</v>
      </c>
      <c r="P20" s="344"/>
      <c r="R20" s="490">
        <f t="shared" si="2"/>
        <v>0</v>
      </c>
      <c r="S20" s="490">
        <f t="shared" si="0"/>
        <v>0</v>
      </c>
      <c r="T20" s="490">
        <f t="shared" si="3"/>
        <v>0</v>
      </c>
      <c r="U20" s="490">
        <f t="shared" si="4"/>
        <v>0</v>
      </c>
      <c r="V20" s="489">
        <f t="shared" si="5"/>
        <v>0</v>
      </c>
      <c r="W20" s="319"/>
      <c r="X20" s="489">
        <f t="shared" si="6"/>
        <v>500</v>
      </c>
      <c r="Y20" s="490">
        <f t="shared" si="1"/>
        <v>532</v>
      </c>
      <c r="Z20" s="490">
        <f t="shared" si="7"/>
        <v>536</v>
      </c>
      <c r="AA20" s="490">
        <f t="shared" si="8"/>
        <v>540</v>
      </c>
      <c r="AB20" s="489">
        <f t="shared" si="9"/>
        <v>540</v>
      </c>
      <c r="AC20" s="497"/>
      <c r="AE20" s="443"/>
      <c r="AF20" s="500" t="s">
        <v>424</v>
      </c>
      <c r="AG20" s="502">
        <v>-0.1</v>
      </c>
      <c r="AH20" s="443"/>
      <c r="AI20" s="500" t="s">
        <v>529</v>
      </c>
      <c r="AJ20" s="502">
        <v>0.1</v>
      </c>
      <c r="AK20" s="443"/>
      <c r="AL20" s="406"/>
      <c r="AM20" s="406"/>
      <c r="AO20" s="318" t="s">
        <v>531</v>
      </c>
      <c r="AP20" s="668"/>
      <c r="AQ20" s="668"/>
      <c r="AR20" s="669"/>
      <c r="AS20" s="668"/>
    </row>
    <row r="21" spans="1:45" ht="14.1" customHeight="1" x14ac:dyDescent="0.25">
      <c r="A21" s="326"/>
      <c r="B21" s="457">
        <v>7</v>
      </c>
      <c r="C21" s="455">
        <v>42833</v>
      </c>
      <c r="D21" s="456"/>
      <c r="E21" s="533"/>
      <c r="F21" s="1102" t="s">
        <v>500</v>
      </c>
      <c r="G21" s="1102"/>
      <c r="H21" s="539"/>
      <c r="I21" s="538"/>
      <c r="J21" s="342"/>
      <c r="K21" s="343"/>
      <c r="L21" s="343"/>
      <c r="M21" s="343"/>
      <c r="N21" s="343"/>
      <c r="O21" s="340"/>
      <c r="P21" s="344"/>
      <c r="R21" s="490">
        <f t="shared" si="2"/>
        <v>0</v>
      </c>
      <c r="S21" s="490">
        <f t="shared" si="0"/>
        <v>0</v>
      </c>
      <c r="T21" s="490">
        <f t="shared" si="3"/>
        <v>0</v>
      </c>
      <c r="U21" s="490">
        <f t="shared" si="4"/>
        <v>0</v>
      </c>
      <c r="V21" s="489">
        <f t="shared" si="5"/>
        <v>0</v>
      </c>
      <c r="W21" s="319"/>
      <c r="X21" s="489">
        <f t="shared" si="6"/>
        <v>0</v>
      </c>
      <c r="Y21" s="490">
        <f t="shared" si="1"/>
        <v>0</v>
      </c>
      <c r="Z21" s="490">
        <f t="shared" si="7"/>
        <v>0</v>
      </c>
      <c r="AA21" s="490">
        <f t="shared" si="8"/>
        <v>0</v>
      </c>
      <c r="AB21" s="489">
        <f t="shared" si="9"/>
        <v>0</v>
      </c>
      <c r="AC21" s="497"/>
      <c r="AE21" s="443"/>
      <c r="AF21" s="503" t="s">
        <v>366</v>
      </c>
      <c r="AG21" s="486">
        <v>0</v>
      </c>
      <c r="AH21" s="443"/>
      <c r="AI21" s="503" t="s">
        <v>531</v>
      </c>
      <c r="AJ21" s="486">
        <v>0.1</v>
      </c>
      <c r="AK21" s="443"/>
      <c r="AO21" s="318"/>
    </row>
    <row r="22" spans="1:45" ht="14.1" customHeight="1" x14ac:dyDescent="0.25">
      <c r="A22" s="326"/>
      <c r="B22" s="457">
        <v>8</v>
      </c>
      <c r="C22" s="455">
        <v>42834</v>
      </c>
      <c r="D22" s="456"/>
      <c r="E22" s="533"/>
      <c r="F22" s="1102" t="s">
        <v>500</v>
      </c>
      <c r="G22" s="1102"/>
      <c r="H22" s="540"/>
      <c r="I22" s="538"/>
      <c r="J22" s="345"/>
      <c r="K22" s="343"/>
      <c r="L22" s="343"/>
      <c r="M22" s="343"/>
      <c r="N22" s="343"/>
      <c r="O22" s="340"/>
      <c r="P22" s="344"/>
      <c r="R22" s="490">
        <f t="shared" si="2"/>
        <v>0</v>
      </c>
      <c r="S22" s="490">
        <f t="shared" si="0"/>
        <v>0</v>
      </c>
      <c r="T22" s="490">
        <f t="shared" si="3"/>
        <v>0</v>
      </c>
      <c r="U22" s="490">
        <f t="shared" si="4"/>
        <v>0</v>
      </c>
      <c r="V22" s="489">
        <f t="shared" si="5"/>
        <v>0</v>
      </c>
      <c r="W22" s="319"/>
      <c r="X22" s="489">
        <f t="shared" si="6"/>
        <v>0</v>
      </c>
      <c r="Y22" s="490">
        <f t="shared" si="1"/>
        <v>0</v>
      </c>
      <c r="Z22" s="490">
        <f t="shared" si="7"/>
        <v>0</v>
      </c>
      <c r="AA22" s="490">
        <f t="shared" si="8"/>
        <v>0</v>
      </c>
      <c r="AB22" s="489">
        <f t="shared" si="9"/>
        <v>0</v>
      </c>
      <c r="AC22" s="497"/>
      <c r="AE22" s="443"/>
      <c r="AF22" s="504" t="s">
        <v>430</v>
      </c>
      <c r="AG22" s="505"/>
      <c r="AH22" s="505"/>
      <c r="AI22" s="505"/>
      <c r="AJ22" s="505"/>
      <c r="AK22" s="505"/>
      <c r="AO22" s="318" t="s">
        <v>526</v>
      </c>
    </row>
    <row r="23" spans="1:45" ht="14.1" customHeight="1" x14ac:dyDescent="0.25">
      <c r="A23" s="326"/>
      <c r="B23" s="457">
        <v>9</v>
      </c>
      <c r="C23" s="455">
        <v>42835</v>
      </c>
      <c r="D23" s="456"/>
      <c r="E23" s="533"/>
      <c r="F23" s="1102" t="s">
        <v>500</v>
      </c>
      <c r="G23" s="1102"/>
      <c r="H23" s="540"/>
      <c r="I23" s="538"/>
      <c r="J23" s="345"/>
      <c r="K23" s="343"/>
      <c r="L23" s="343"/>
      <c r="M23" s="343"/>
      <c r="N23" s="343"/>
      <c r="O23" s="340"/>
      <c r="P23" s="344"/>
      <c r="R23" s="490">
        <f t="shared" si="2"/>
        <v>0</v>
      </c>
      <c r="S23" s="490">
        <f t="shared" si="0"/>
        <v>0</v>
      </c>
      <c r="T23" s="490">
        <f t="shared" si="3"/>
        <v>0</v>
      </c>
      <c r="U23" s="490">
        <f t="shared" si="4"/>
        <v>0</v>
      </c>
      <c r="V23" s="489">
        <f t="shared" si="5"/>
        <v>0</v>
      </c>
      <c r="W23" s="319"/>
      <c r="X23" s="489">
        <f t="shared" si="6"/>
        <v>0</v>
      </c>
      <c r="Y23" s="490">
        <f t="shared" si="1"/>
        <v>0</v>
      </c>
      <c r="Z23" s="490">
        <f t="shared" si="7"/>
        <v>0</v>
      </c>
      <c r="AA23" s="490">
        <f t="shared" si="8"/>
        <v>0</v>
      </c>
      <c r="AB23" s="489">
        <f t="shared" si="9"/>
        <v>0</v>
      </c>
      <c r="AC23" s="497"/>
      <c r="AE23" s="443"/>
      <c r="AF23" s="506" t="s">
        <v>472</v>
      </c>
      <c r="AG23" s="507"/>
      <c r="AH23" s="507"/>
      <c r="AI23" s="507"/>
      <c r="AJ23" s="507"/>
      <c r="AK23" s="507"/>
      <c r="AO23" s="318" t="s">
        <v>527</v>
      </c>
    </row>
    <row r="24" spans="1:45" ht="14.1" customHeight="1" x14ac:dyDescent="0.25">
      <c r="A24" s="326"/>
      <c r="B24" s="457">
        <v>10</v>
      </c>
      <c r="C24" s="455">
        <v>42836</v>
      </c>
      <c r="D24" s="456"/>
      <c r="E24" s="533"/>
      <c r="F24" s="1102" t="s">
        <v>500</v>
      </c>
      <c r="G24" s="1102"/>
      <c r="H24" s="540"/>
      <c r="I24" s="538"/>
      <c r="J24" s="346"/>
      <c r="K24" s="343"/>
      <c r="L24" s="343"/>
      <c r="M24" s="343"/>
      <c r="N24" s="343"/>
      <c r="O24" s="340"/>
      <c r="P24" s="344"/>
      <c r="R24" s="490">
        <f t="shared" si="2"/>
        <v>0</v>
      </c>
      <c r="S24" s="490">
        <f t="shared" si="0"/>
        <v>0</v>
      </c>
      <c r="T24" s="490">
        <f t="shared" si="3"/>
        <v>0</v>
      </c>
      <c r="U24" s="490">
        <f t="shared" si="4"/>
        <v>0</v>
      </c>
      <c r="V24" s="489">
        <f t="shared" si="5"/>
        <v>0</v>
      </c>
      <c r="W24" s="319"/>
      <c r="X24" s="489">
        <f t="shared" si="6"/>
        <v>0</v>
      </c>
      <c r="Y24" s="490">
        <f t="shared" si="1"/>
        <v>0</v>
      </c>
      <c r="Z24" s="490">
        <f t="shared" si="7"/>
        <v>0</v>
      </c>
      <c r="AA24" s="490">
        <f t="shared" si="8"/>
        <v>0</v>
      </c>
      <c r="AB24" s="489">
        <f t="shared" si="9"/>
        <v>0</v>
      </c>
      <c r="AC24" s="497"/>
      <c r="AE24" s="443"/>
      <c r="AF24" s="443"/>
      <c r="AG24" s="443"/>
      <c r="AH24" s="443"/>
      <c r="AI24" s="508" t="s">
        <v>474</v>
      </c>
      <c r="AJ24" s="509">
        <v>0.25</v>
      </c>
      <c r="AK24" s="443"/>
    </row>
    <row r="25" spans="1:45" ht="14.1" customHeight="1" x14ac:dyDescent="0.25">
      <c r="A25" s="326"/>
      <c r="B25" s="457">
        <v>11</v>
      </c>
      <c r="C25" s="455">
        <v>42837</v>
      </c>
      <c r="D25" s="456"/>
      <c r="E25" s="533"/>
      <c r="F25" s="1102" t="s">
        <v>500</v>
      </c>
      <c r="G25" s="1102"/>
      <c r="H25" s="540"/>
      <c r="I25" s="538"/>
      <c r="J25" s="345"/>
      <c r="K25" s="343"/>
      <c r="L25" s="343"/>
      <c r="M25" s="343"/>
      <c r="N25" s="343"/>
      <c r="O25" s="340"/>
      <c r="P25" s="344"/>
      <c r="R25" s="490">
        <f t="shared" si="2"/>
        <v>0</v>
      </c>
      <c r="S25" s="490">
        <f t="shared" si="0"/>
        <v>0</v>
      </c>
      <c r="T25" s="490">
        <f t="shared" si="3"/>
        <v>0</v>
      </c>
      <c r="U25" s="490">
        <f t="shared" si="4"/>
        <v>0</v>
      </c>
      <c r="V25" s="489">
        <f t="shared" si="5"/>
        <v>0</v>
      </c>
      <c r="W25" s="319"/>
      <c r="X25" s="489">
        <f t="shared" si="6"/>
        <v>0</v>
      </c>
      <c r="Y25" s="490">
        <f t="shared" si="1"/>
        <v>0</v>
      </c>
      <c r="Z25" s="490">
        <f t="shared" si="7"/>
        <v>0</v>
      </c>
      <c r="AA25" s="490">
        <f t="shared" si="8"/>
        <v>0</v>
      </c>
      <c r="AB25" s="489">
        <f t="shared" si="9"/>
        <v>0</v>
      </c>
      <c r="AC25" s="497"/>
      <c r="AE25" s="443"/>
      <c r="AF25" s="443"/>
      <c r="AG25" s="443"/>
      <c r="AH25" s="443"/>
      <c r="AI25" s="508" t="s">
        <v>22</v>
      </c>
      <c r="AJ25" s="509">
        <v>0.18</v>
      </c>
      <c r="AK25" s="443"/>
      <c r="AO25" s="325" t="s">
        <v>384</v>
      </c>
      <c r="AP25" s="406">
        <v>0.25</v>
      </c>
    </row>
    <row r="26" spans="1:45" ht="14.1" customHeight="1" x14ac:dyDescent="0.25">
      <c r="A26" s="326"/>
      <c r="B26" s="457">
        <v>12</v>
      </c>
      <c r="C26" s="455">
        <v>42838</v>
      </c>
      <c r="D26" s="456"/>
      <c r="E26" s="533"/>
      <c r="F26" s="1102" t="s">
        <v>500</v>
      </c>
      <c r="G26" s="1102"/>
      <c r="H26" s="541"/>
      <c r="I26" s="538"/>
      <c r="J26" s="346"/>
      <c r="K26" s="343"/>
      <c r="L26" s="343"/>
      <c r="M26" s="343"/>
      <c r="N26" s="343"/>
      <c r="O26" s="343"/>
      <c r="P26" s="344"/>
      <c r="R26" s="490">
        <f t="shared" si="2"/>
        <v>0</v>
      </c>
      <c r="S26" s="490">
        <f t="shared" si="0"/>
        <v>0</v>
      </c>
      <c r="T26" s="490">
        <f t="shared" si="3"/>
        <v>0</v>
      </c>
      <c r="U26" s="490">
        <f t="shared" si="4"/>
        <v>0</v>
      </c>
      <c r="V26" s="489">
        <f t="shared" si="5"/>
        <v>0</v>
      </c>
      <c r="W26" s="319"/>
      <c r="X26" s="489">
        <f t="shared" si="6"/>
        <v>0</v>
      </c>
      <c r="Y26" s="490">
        <f t="shared" si="1"/>
        <v>0</v>
      </c>
      <c r="Z26" s="490">
        <f t="shared" si="7"/>
        <v>0</v>
      </c>
      <c r="AA26" s="490">
        <f t="shared" si="8"/>
        <v>0</v>
      </c>
      <c r="AB26" s="489">
        <f t="shared" si="9"/>
        <v>0</v>
      </c>
      <c r="AC26" s="497"/>
      <c r="AE26" s="443"/>
      <c r="AF26" s="443"/>
      <c r="AG26" s="443"/>
      <c r="AH26" s="443"/>
      <c r="AI26" s="443"/>
      <c r="AJ26" s="443"/>
      <c r="AK26" s="443"/>
      <c r="AO26" s="325" t="s">
        <v>385</v>
      </c>
      <c r="AP26" s="406">
        <v>0.1</v>
      </c>
    </row>
    <row r="27" spans="1:45" ht="14.1" customHeight="1" x14ac:dyDescent="0.25">
      <c r="A27" s="326"/>
      <c r="B27" s="457">
        <v>13</v>
      </c>
      <c r="C27" s="455">
        <v>42839</v>
      </c>
      <c r="D27" s="456"/>
      <c r="E27" s="533"/>
      <c r="F27" s="1102" t="s">
        <v>512</v>
      </c>
      <c r="G27" s="1102"/>
      <c r="H27" s="542"/>
      <c r="I27" s="538"/>
      <c r="J27" s="345"/>
      <c r="K27" s="343"/>
      <c r="L27" s="343"/>
      <c r="M27" s="343"/>
      <c r="N27" s="343"/>
      <c r="O27" s="343"/>
      <c r="P27" s="344"/>
      <c r="R27" s="490">
        <f t="shared" si="2"/>
        <v>0</v>
      </c>
      <c r="S27" s="490">
        <f t="shared" si="0"/>
        <v>0</v>
      </c>
      <c r="T27" s="490">
        <f t="shared" si="3"/>
        <v>0</v>
      </c>
      <c r="U27" s="490">
        <f t="shared" si="4"/>
        <v>0</v>
      </c>
      <c r="V27" s="489">
        <f t="shared" si="5"/>
        <v>0</v>
      </c>
      <c r="W27" s="319"/>
      <c r="X27" s="489">
        <f t="shared" si="6"/>
        <v>0</v>
      </c>
      <c r="Y27" s="490">
        <f t="shared" si="1"/>
        <v>0</v>
      </c>
      <c r="Z27" s="490">
        <f t="shared" si="7"/>
        <v>0</v>
      </c>
      <c r="AA27" s="490">
        <f t="shared" si="8"/>
        <v>0</v>
      </c>
      <c r="AB27" s="489">
        <f t="shared" si="9"/>
        <v>0</v>
      </c>
      <c r="AC27" s="497"/>
      <c r="AE27" s="443"/>
      <c r="AF27" s="499" t="s">
        <v>422</v>
      </c>
      <c r="AG27" s="499"/>
      <c r="AH27" s="499"/>
      <c r="AI27" s="499"/>
      <c r="AJ27" s="499"/>
      <c r="AK27" s="499"/>
      <c r="AO27" s="325" t="s">
        <v>386</v>
      </c>
      <c r="AP27" s="406">
        <v>0.15</v>
      </c>
    </row>
    <row r="28" spans="1:45" ht="14.1" customHeight="1" x14ac:dyDescent="0.25">
      <c r="A28" s="326"/>
      <c r="B28" s="457">
        <v>14</v>
      </c>
      <c r="C28" s="455">
        <v>42840</v>
      </c>
      <c r="D28" s="456"/>
      <c r="E28" s="533"/>
      <c r="F28" s="1103"/>
      <c r="G28" s="1104"/>
      <c r="H28" s="542"/>
      <c r="I28" s="538"/>
      <c r="J28" s="346"/>
      <c r="K28" s="343"/>
      <c r="L28" s="343"/>
      <c r="M28" s="343"/>
      <c r="N28" s="343"/>
      <c r="O28" s="343"/>
      <c r="P28" s="344"/>
      <c r="R28" s="490">
        <f t="shared" si="2"/>
        <v>0</v>
      </c>
      <c r="S28" s="490">
        <f t="shared" si="0"/>
        <v>0</v>
      </c>
      <c r="T28" s="490">
        <f t="shared" si="3"/>
        <v>0</v>
      </c>
      <c r="U28" s="490">
        <f t="shared" si="4"/>
        <v>0</v>
      </c>
      <c r="V28" s="489">
        <f t="shared" si="5"/>
        <v>0</v>
      </c>
      <c r="W28" s="319"/>
      <c r="X28" s="489">
        <f t="shared" si="6"/>
        <v>0</v>
      </c>
      <c r="Y28" s="490">
        <f t="shared" si="1"/>
        <v>0</v>
      </c>
      <c r="Z28" s="490">
        <f t="shared" si="7"/>
        <v>0</v>
      </c>
      <c r="AA28" s="490">
        <f t="shared" si="8"/>
        <v>0</v>
      </c>
      <c r="AB28" s="489">
        <f t="shared" si="9"/>
        <v>0</v>
      </c>
      <c r="AC28" s="497"/>
      <c r="AE28" s="443"/>
      <c r="AF28" s="443" t="s">
        <v>471</v>
      </c>
      <c r="AG28" s="443"/>
      <c r="AH28" s="443"/>
      <c r="AI28" s="443"/>
      <c r="AJ28" s="443"/>
      <c r="AK28" s="443"/>
      <c r="AO28" s="325" t="s">
        <v>424</v>
      </c>
      <c r="AP28" s="406">
        <v>0.1</v>
      </c>
    </row>
    <row r="29" spans="1:45" ht="14.1" customHeight="1" x14ac:dyDescent="0.25">
      <c r="A29" s="326"/>
      <c r="B29" s="457">
        <v>15</v>
      </c>
      <c r="C29" s="455">
        <v>42841</v>
      </c>
      <c r="D29" s="456"/>
      <c r="E29" s="533"/>
      <c r="F29" s="1102"/>
      <c r="G29" s="1102"/>
      <c r="H29" s="542"/>
      <c r="I29" s="538"/>
      <c r="J29" s="345"/>
      <c r="K29" s="343"/>
      <c r="L29" s="343"/>
      <c r="M29" s="343"/>
      <c r="N29" s="343"/>
      <c r="O29" s="343"/>
      <c r="P29" s="344"/>
      <c r="R29" s="490">
        <f t="shared" si="2"/>
        <v>0</v>
      </c>
      <c r="S29" s="490">
        <f t="shared" si="0"/>
        <v>0</v>
      </c>
      <c r="T29" s="490">
        <f t="shared" si="3"/>
        <v>0</v>
      </c>
      <c r="U29" s="490">
        <f t="shared" si="4"/>
        <v>0</v>
      </c>
      <c r="V29" s="489">
        <f t="shared" si="5"/>
        <v>0</v>
      </c>
      <c r="W29" s="319"/>
      <c r="X29" s="489">
        <f t="shared" si="6"/>
        <v>0</v>
      </c>
      <c r="Y29" s="490">
        <f t="shared" si="1"/>
        <v>0</v>
      </c>
      <c r="Z29" s="490">
        <f t="shared" si="7"/>
        <v>0</v>
      </c>
      <c r="AA29" s="490">
        <f t="shared" si="8"/>
        <v>0</v>
      </c>
      <c r="AB29" s="489">
        <f t="shared" si="9"/>
        <v>0</v>
      </c>
      <c r="AC29" s="497"/>
      <c r="AE29" s="443"/>
      <c r="AF29" s="466" t="s">
        <v>384</v>
      </c>
      <c r="AG29" s="502">
        <v>0.1</v>
      </c>
      <c r="AH29" s="466" t="s">
        <v>459</v>
      </c>
      <c r="AI29" s="466"/>
      <c r="AJ29" s="466"/>
      <c r="AK29" s="443"/>
      <c r="AO29" s="325" t="s">
        <v>366</v>
      </c>
      <c r="AP29" s="406">
        <v>0</v>
      </c>
    </row>
    <row r="30" spans="1:45" ht="14.1" customHeight="1" x14ac:dyDescent="0.25">
      <c r="A30" s="326"/>
      <c r="B30" s="457">
        <v>16</v>
      </c>
      <c r="C30" s="455"/>
      <c r="D30" s="456"/>
      <c r="E30" s="533"/>
      <c r="F30" s="1102"/>
      <c r="G30" s="1102"/>
      <c r="H30" s="542"/>
      <c r="I30" s="538"/>
      <c r="J30" s="345"/>
      <c r="K30" s="343"/>
      <c r="L30" s="343"/>
      <c r="M30" s="343"/>
      <c r="N30" s="343"/>
      <c r="O30" s="343"/>
      <c r="P30" s="344"/>
      <c r="R30" s="490">
        <f t="shared" si="2"/>
        <v>0</v>
      </c>
      <c r="S30" s="490">
        <f t="shared" ref="S30:S35" si="10">((R30-(R30-K30-L30-M30))*(USA))+R30</f>
        <v>0</v>
      </c>
      <c r="T30" s="490">
        <f t="shared" si="3"/>
        <v>0</v>
      </c>
      <c r="U30" s="490">
        <f t="shared" si="4"/>
        <v>0</v>
      </c>
      <c r="V30" s="489">
        <f t="shared" si="5"/>
        <v>0</v>
      </c>
      <c r="W30" s="319"/>
      <c r="X30" s="489">
        <f t="shared" si="6"/>
        <v>0</v>
      </c>
      <c r="Y30" s="490">
        <f t="shared" ref="Y30:Y35" si="11">((X30-(X30-N30-O30-P30))*(USA))+X30</f>
        <v>0</v>
      </c>
      <c r="Z30" s="490">
        <f t="shared" si="7"/>
        <v>0</v>
      </c>
      <c r="AA30" s="490">
        <f t="shared" si="8"/>
        <v>0</v>
      </c>
      <c r="AB30" s="489">
        <f t="shared" si="9"/>
        <v>0</v>
      </c>
      <c r="AC30" s="497"/>
      <c r="AE30" s="443"/>
      <c r="AF30" s="466" t="s">
        <v>385</v>
      </c>
      <c r="AG30" s="502">
        <v>7.0000000000000007E-2</v>
      </c>
      <c r="AH30" s="466" t="s">
        <v>460</v>
      </c>
      <c r="AI30" s="466"/>
      <c r="AJ30" s="466"/>
      <c r="AK30" s="443"/>
    </row>
    <row r="31" spans="1:45" ht="14.1" customHeight="1" x14ac:dyDescent="0.25">
      <c r="A31" s="326"/>
      <c r="B31" s="457">
        <v>17</v>
      </c>
      <c r="C31" s="455"/>
      <c r="D31" s="456"/>
      <c r="E31" s="533"/>
      <c r="F31" s="1102"/>
      <c r="G31" s="1102"/>
      <c r="H31" s="542"/>
      <c r="I31" s="538"/>
      <c r="J31" s="345"/>
      <c r="K31" s="343"/>
      <c r="L31" s="343"/>
      <c r="M31" s="343"/>
      <c r="N31" s="343"/>
      <c r="O31" s="343"/>
      <c r="P31" s="344"/>
      <c r="R31" s="490">
        <f t="shared" si="2"/>
        <v>0</v>
      </c>
      <c r="S31" s="490">
        <f t="shared" si="10"/>
        <v>0</v>
      </c>
      <c r="T31" s="490">
        <f t="shared" si="3"/>
        <v>0</v>
      </c>
      <c r="U31" s="490">
        <f t="shared" si="4"/>
        <v>0</v>
      </c>
      <c r="V31" s="489">
        <f t="shared" si="5"/>
        <v>0</v>
      </c>
      <c r="W31" s="319"/>
      <c r="X31" s="489">
        <f t="shared" si="6"/>
        <v>0</v>
      </c>
      <c r="Y31" s="490">
        <f t="shared" si="11"/>
        <v>0</v>
      </c>
      <c r="Z31" s="490">
        <f t="shared" si="7"/>
        <v>0</v>
      </c>
      <c r="AA31" s="490">
        <f t="shared" si="8"/>
        <v>0</v>
      </c>
      <c r="AB31" s="489">
        <f t="shared" si="9"/>
        <v>0</v>
      </c>
      <c r="AC31" s="497"/>
      <c r="AE31" s="443"/>
      <c r="AF31" s="443"/>
      <c r="AG31" s="443"/>
      <c r="AH31" s="443"/>
      <c r="AI31" s="443"/>
      <c r="AJ31" s="443"/>
      <c r="AK31" s="443"/>
    </row>
    <row r="32" spans="1:45" ht="14.1" customHeight="1" x14ac:dyDescent="0.25">
      <c r="A32" s="326"/>
      <c r="B32" s="457">
        <v>18</v>
      </c>
      <c r="C32" s="455"/>
      <c r="D32" s="456"/>
      <c r="E32" s="533"/>
      <c r="F32" s="1102"/>
      <c r="G32" s="1102"/>
      <c r="H32" s="542"/>
      <c r="I32" s="538"/>
      <c r="J32" s="345"/>
      <c r="K32" s="343"/>
      <c r="L32" s="343"/>
      <c r="M32" s="343"/>
      <c r="N32" s="343"/>
      <c r="O32" s="343"/>
      <c r="P32" s="344"/>
      <c r="R32" s="490">
        <f t="shared" si="2"/>
        <v>0</v>
      </c>
      <c r="S32" s="490">
        <f t="shared" si="10"/>
        <v>0</v>
      </c>
      <c r="T32" s="490">
        <f t="shared" si="3"/>
        <v>0</v>
      </c>
      <c r="U32" s="490">
        <f t="shared" si="4"/>
        <v>0</v>
      </c>
      <c r="V32" s="489">
        <f t="shared" si="5"/>
        <v>0</v>
      </c>
      <c r="W32" s="319"/>
      <c r="X32" s="489">
        <f t="shared" si="6"/>
        <v>0</v>
      </c>
      <c r="Y32" s="490">
        <f t="shared" si="11"/>
        <v>0</v>
      </c>
      <c r="Z32" s="490">
        <f t="shared" si="7"/>
        <v>0</v>
      </c>
      <c r="AA32" s="490">
        <f t="shared" si="8"/>
        <v>0</v>
      </c>
      <c r="AB32" s="489">
        <f t="shared" si="9"/>
        <v>0</v>
      </c>
      <c r="AC32" s="497"/>
      <c r="AE32" s="443"/>
      <c r="AF32" s="499" t="s">
        <v>420</v>
      </c>
      <c r="AG32" s="499"/>
      <c r="AH32" s="499"/>
      <c r="AI32" s="499"/>
      <c r="AJ32" s="499"/>
      <c r="AK32" s="499"/>
    </row>
    <row r="33" spans="1:37" ht="14.1" customHeight="1" x14ac:dyDescent="0.25">
      <c r="A33" s="326"/>
      <c r="B33" s="457">
        <v>19</v>
      </c>
      <c r="C33" s="455"/>
      <c r="D33" s="456"/>
      <c r="E33" s="533"/>
      <c r="F33" s="1102"/>
      <c r="G33" s="1102"/>
      <c r="H33" s="542"/>
      <c r="I33" s="538"/>
      <c r="J33" s="345"/>
      <c r="K33" s="343"/>
      <c r="L33" s="343"/>
      <c r="M33" s="343"/>
      <c r="N33" s="343"/>
      <c r="O33" s="343"/>
      <c r="P33" s="344"/>
      <c r="R33" s="490">
        <f t="shared" si="2"/>
        <v>0</v>
      </c>
      <c r="S33" s="490">
        <f t="shared" si="10"/>
        <v>0</v>
      </c>
      <c r="T33" s="490">
        <f t="shared" si="3"/>
        <v>0</v>
      </c>
      <c r="U33" s="490">
        <f t="shared" si="4"/>
        <v>0</v>
      </c>
      <c r="V33" s="489">
        <f t="shared" si="5"/>
        <v>0</v>
      </c>
      <c r="W33" s="319"/>
      <c r="X33" s="489">
        <f t="shared" si="6"/>
        <v>0</v>
      </c>
      <c r="Y33" s="490">
        <f t="shared" si="11"/>
        <v>0</v>
      </c>
      <c r="Z33" s="490">
        <f t="shared" si="7"/>
        <v>0</v>
      </c>
      <c r="AA33" s="490">
        <f t="shared" si="8"/>
        <v>0</v>
      </c>
      <c r="AB33" s="489">
        <f t="shared" si="9"/>
        <v>0</v>
      </c>
      <c r="AC33" s="497"/>
      <c r="AE33" s="443"/>
      <c r="AF33" s="443" t="s">
        <v>470</v>
      </c>
      <c r="AG33" s="443"/>
      <c r="AH33" s="443"/>
      <c r="AI33" s="443"/>
      <c r="AJ33" s="443"/>
      <c r="AK33" s="443"/>
    </row>
    <row r="34" spans="1:37" ht="14.1" customHeight="1" x14ac:dyDescent="0.25">
      <c r="A34" s="326"/>
      <c r="B34" s="457">
        <v>20</v>
      </c>
      <c r="C34" s="455"/>
      <c r="D34" s="456"/>
      <c r="E34" s="533"/>
      <c r="F34" s="1102"/>
      <c r="G34" s="1102"/>
      <c r="H34" s="542"/>
      <c r="I34" s="538"/>
      <c r="J34" s="345"/>
      <c r="K34" s="343"/>
      <c r="L34" s="343"/>
      <c r="M34" s="343"/>
      <c r="N34" s="343"/>
      <c r="O34" s="343"/>
      <c r="P34" s="344"/>
      <c r="R34" s="490">
        <f t="shared" si="2"/>
        <v>0</v>
      </c>
      <c r="S34" s="490">
        <f t="shared" si="10"/>
        <v>0</v>
      </c>
      <c r="T34" s="490">
        <f t="shared" si="3"/>
        <v>0</v>
      </c>
      <c r="U34" s="490">
        <f t="shared" si="4"/>
        <v>0</v>
      </c>
      <c r="V34" s="489">
        <f t="shared" si="5"/>
        <v>0</v>
      </c>
      <c r="W34" s="319"/>
      <c r="X34" s="489">
        <f t="shared" si="6"/>
        <v>0</v>
      </c>
      <c r="Y34" s="490">
        <f t="shared" si="11"/>
        <v>0</v>
      </c>
      <c r="Z34" s="490">
        <f t="shared" si="7"/>
        <v>0</v>
      </c>
      <c r="AA34" s="490">
        <f t="shared" si="8"/>
        <v>0</v>
      </c>
      <c r="AB34" s="489">
        <f t="shared" si="9"/>
        <v>0</v>
      </c>
      <c r="AC34" s="497"/>
      <c r="AE34" s="443"/>
      <c r="AF34" s="503" t="s">
        <v>441</v>
      </c>
      <c r="AG34" s="320"/>
      <c r="AH34" s="443"/>
      <c r="AI34" s="500" t="s">
        <v>446</v>
      </c>
      <c r="AJ34" s="320"/>
      <c r="AK34" s="443"/>
    </row>
    <row r="35" spans="1:37" ht="14.1" customHeight="1" x14ac:dyDescent="0.25">
      <c r="A35" s="326"/>
      <c r="B35" s="457">
        <v>21</v>
      </c>
      <c r="C35" s="455"/>
      <c r="D35" s="456"/>
      <c r="E35" s="533"/>
      <c r="F35" s="1102"/>
      <c r="G35" s="1102"/>
      <c r="H35" s="542"/>
      <c r="I35" s="538"/>
      <c r="J35" s="345"/>
      <c r="K35" s="343"/>
      <c r="L35" s="343"/>
      <c r="M35" s="343"/>
      <c r="N35" s="343"/>
      <c r="O35" s="343"/>
      <c r="P35" s="344"/>
      <c r="R35" s="490">
        <f t="shared" si="2"/>
        <v>0</v>
      </c>
      <c r="S35" s="490">
        <f t="shared" si="10"/>
        <v>0</v>
      </c>
      <c r="T35" s="490">
        <f t="shared" si="3"/>
        <v>0</v>
      </c>
      <c r="U35" s="490">
        <f t="shared" si="4"/>
        <v>0</v>
      </c>
      <c r="V35" s="489">
        <f t="shared" si="5"/>
        <v>0</v>
      </c>
      <c r="W35" s="319"/>
      <c r="X35" s="489">
        <f t="shared" si="6"/>
        <v>0</v>
      </c>
      <c r="Y35" s="490">
        <f t="shared" si="11"/>
        <v>0</v>
      </c>
      <c r="Z35" s="490">
        <f t="shared" si="7"/>
        <v>0</v>
      </c>
      <c r="AA35" s="490">
        <f t="shared" si="8"/>
        <v>0</v>
      </c>
      <c r="AB35" s="489">
        <f t="shared" si="9"/>
        <v>0</v>
      </c>
      <c r="AC35" s="497"/>
      <c r="AE35" s="443"/>
      <c r="AF35" s="510" t="s">
        <v>384</v>
      </c>
      <c r="AG35" s="511">
        <v>0.8</v>
      </c>
      <c r="AH35" s="443"/>
      <c r="AI35" s="500" t="s">
        <v>506</v>
      </c>
      <c r="AJ35" s="320"/>
      <c r="AK35" s="443"/>
    </row>
    <row r="36" spans="1:37" ht="14.1" customHeight="1" x14ac:dyDescent="0.25">
      <c r="A36" s="326"/>
      <c r="B36" s="457">
        <v>22</v>
      </c>
      <c r="C36" s="338"/>
      <c r="D36" s="339"/>
      <c r="E36" s="543"/>
      <c r="F36" s="1087"/>
      <c r="G36" s="1087"/>
      <c r="H36" s="544"/>
      <c r="I36" s="538"/>
      <c r="J36" s="346"/>
      <c r="K36" s="343"/>
      <c r="L36" s="343"/>
      <c r="M36" s="343"/>
      <c r="N36" s="343"/>
      <c r="O36" s="343"/>
      <c r="P36" s="344"/>
      <c r="R36" s="490">
        <f t="shared" si="2"/>
        <v>0</v>
      </c>
      <c r="S36" s="490">
        <f t="shared" si="0"/>
        <v>0</v>
      </c>
      <c r="T36" s="490">
        <f t="shared" si="3"/>
        <v>0</v>
      </c>
      <c r="U36" s="490">
        <f t="shared" si="4"/>
        <v>0</v>
      </c>
      <c r="V36" s="489">
        <f t="shared" si="5"/>
        <v>0</v>
      </c>
      <c r="W36" s="319"/>
      <c r="X36" s="489">
        <f t="shared" si="6"/>
        <v>0</v>
      </c>
      <c r="Y36" s="490">
        <f t="shared" si="1"/>
        <v>0</v>
      </c>
      <c r="Z36" s="490">
        <f t="shared" si="7"/>
        <v>0</v>
      </c>
      <c r="AA36" s="490">
        <f t="shared" si="8"/>
        <v>0</v>
      </c>
      <c r="AB36" s="489">
        <f t="shared" si="9"/>
        <v>0</v>
      </c>
      <c r="AC36" s="497"/>
      <c r="AE36" s="443"/>
      <c r="AF36" s="510" t="s">
        <v>385</v>
      </c>
      <c r="AG36" s="511">
        <v>0.4</v>
      </c>
      <c r="AH36" s="443"/>
      <c r="AI36" s="500" t="s">
        <v>507</v>
      </c>
      <c r="AJ36" s="501">
        <v>-0.05</v>
      </c>
      <c r="AK36" s="443"/>
    </row>
    <row r="37" spans="1:37" ht="14.1" customHeight="1" x14ac:dyDescent="0.25">
      <c r="A37" s="326"/>
      <c r="B37" s="457">
        <v>23</v>
      </c>
      <c r="C37" s="347"/>
      <c r="D37" s="339"/>
      <c r="E37" s="543"/>
      <c r="F37" s="1087"/>
      <c r="G37" s="1087"/>
      <c r="H37" s="542"/>
      <c r="I37" s="538"/>
      <c r="J37" s="346"/>
      <c r="K37" s="343"/>
      <c r="L37" s="343"/>
      <c r="M37" s="343"/>
      <c r="N37" s="343"/>
      <c r="O37" s="343"/>
      <c r="P37" s="344"/>
      <c r="R37" s="490">
        <f t="shared" si="2"/>
        <v>0</v>
      </c>
      <c r="S37" s="490">
        <f t="shared" si="0"/>
        <v>0</v>
      </c>
      <c r="T37" s="490">
        <f t="shared" si="3"/>
        <v>0</v>
      </c>
      <c r="U37" s="490">
        <f t="shared" si="4"/>
        <v>0</v>
      </c>
      <c r="V37" s="489">
        <f t="shared" si="5"/>
        <v>0</v>
      </c>
      <c r="W37" s="319"/>
      <c r="X37" s="489">
        <f t="shared" si="6"/>
        <v>0</v>
      </c>
      <c r="Y37" s="490">
        <f t="shared" si="1"/>
        <v>0</v>
      </c>
      <c r="Z37" s="490">
        <f t="shared" si="7"/>
        <v>0</v>
      </c>
      <c r="AA37" s="490">
        <f t="shared" si="8"/>
        <v>0</v>
      </c>
      <c r="AB37" s="489">
        <f t="shared" si="9"/>
        <v>0</v>
      </c>
      <c r="AC37" s="497"/>
      <c r="AE37" s="443"/>
      <c r="AF37" s="510" t="s">
        <v>386</v>
      </c>
      <c r="AG37" s="511">
        <v>0.3</v>
      </c>
      <c r="AH37" s="443"/>
      <c r="AI37" s="500" t="s">
        <v>508</v>
      </c>
      <c r="AJ37" s="501">
        <v>0</v>
      </c>
      <c r="AK37" s="443"/>
    </row>
    <row r="38" spans="1:37" ht="14.1" customHeight="1" x14ac:dyDescent="0.25">
      <c r="A38" s="326"/>
      <c r="B38" s="457">
        <v>24</v>
      </c>
      <c r="C38" s="347"/>
      <c r="D38" s="339"/>
      <c r="E38" s="543"/>
      <c r="F38" s="1087"/>
      <c r="G38" s="1087"/>
      <c r="H38" s="542"/>
      <c r="I38" s="538"/>
      <c r="J38" s="346"/>
      <c r="K38" s="343"/>
      <c r="L38" s="343"/>
      <c r="M38" s="343"/>
      <c r="N38" s="343"/>
      <c r="O38" s="343"/>
      <c r="P38" s="344"/>
      <c r="R38" s="490">
        <f t="shared" si="2"/>
        <v>0</v>
      </c>
      <c r="S38" s="490">
        <f t="shared" si="0"/>
        <v>0</v>
      </c>
      <c r="T38" s="490">
        <f t="shared" si="3"/>
        <v>0</v>
      </c>
      <c r="U38" s="490">
        <f t="shared" si="4"/>
        <v>0</v>
      </c>
      <c r="V38" s="489">
        <f t="shared" si="5"/>
        <v>0</v>
      </c>
      <c r="W38" s="319"/>
      <c r="X38" s="489">
        <f t="shared" si="6"/>
        <v>0</v>
      </c>
      <c r="Y38" s="490">
        <f t="shared" si="1"/>
        <v>0</v>
      </c>
      <c r="Z38" s="490">
        <f t="shared" si="7"/>
        <v>0</v>
      </c>
      <c r="AA38" s="490">
        <f t="shared" si="8"/>
        <v>0</v>
      </c>
      <c r="AB38" s="489">
        <f t="shared" si="9"/>
        <v>0</v>
      </c>
      <c r="AC38" s="497"/>
      <c r="AE38" s="443"/>
      <c r="AF38" s="510" t="s">
        <v>424</v>
      </c>
      <c r="AG38" s="511">
        <v>0.15</v>
      </c>
      <c r="AH38" s="443"/>
      <c r="AI38" s="500" t="s">
        <v>529</v>
      </c>
      <c r="AJ38" s="502">
        <v>0.02</v>
      </c>
      <c r="AK38" s="443"/>
    </row>
    <row r="39" spans="1:37" ht="14.1" customHeight="1" x14ac:dyDescent="0.25">
      <c r="A39" s="326"/>
      <c r="B39" s="457">
        <v>25</v>
      </c>
      <c r="C39" s="347"/>
      <c r="D39" s="339"/>
      <c r="E39" s="543"/>
      <c r="F39" s="1087"/>
      <c r="G39" s="1087"/>
      <c r="H39" s="545"/>
      <c r="I39" s="538"/>
      <c r="J39" s="349"/>
      <c r="K39" s="350"/>
      <c r="L39" s="350"/>
      <c r="M39" s="350"/>
      <c r="N39" s="350"/>
      <c r="O39" s="350"/>
      <c r="P39" s="351"/>
      <c r="R39" s="490">
        <f t="shared" si="2"/>
        <v>0</v>
      </c>
      <c r="S39" s="490">
        <f t="shared" ref="S39:S41" si="12">((R39-(R39-K39-L39-M39))*(USA))+R39</f>
        <v>0</v>
      </c>
      <c r="T39" s="490">
        <f t="shared" si="3"/>
        <v>0</v>
      </c>
      <c r="U39" s="490">
        <f t="shared" si="4"/>
        <v>0</v>
      </c>
      <c r="V39" s="489">
        <f t="shared" si="5"/>
        <v>0</v>
      </c>
      <c r="W39" s="319"/>
      <c r="X39" s="489">
        <f t="shared" si="6"/>
        <v>0</v>
      </c>
      <c r="Y39" s="490">
        <f t="shared" ref="Y39:Y41" si="13">((X39-(X39-N39-O39-P39))*(USA))+X39</f>
        <v>0</v>
      </c>
      <c r="Z39" s="490">
        <f t="shared" si="7"/>
        <v>0</v>
      </c>
      <c r="AA39" s="490">
        <f t="shared" si="8"/>
        <v>0</v>
      </c>
      <c r="AB39" s="489">
        <f t="shared" si="9"/>
        <v>0</v>
      </c>
      <c r="AC39" s="497"/>
      <c r="AE39" s="443"/>
      <c r="AF39" s="510" t="s">
        <v>366</v>
      </c>
      <c r="AG39" s="511">
        <v>0.1</v>
      </c>
      <c r="AH39" s="443"/>
      <c r="AI39" s="503" t="s">
        <v>531</v>
      </c>
      <c r="AJ39" s="502">
        <v>0.08</v>
      </c>
      <c r="AK39" s="443"/>
    </row>
    <row r="40" spans="1:37" ht="14.1" customHeight="1" x14ac:dyDescent="0.25">
      <c r="A40" s="326"/>
      <c r="B40" s="348"/>
      <c r="C40" s="347"/>
      <c r="D40" s="339"/>
      <c r="E40" s="543"/>
      <c r="F40" s="1087"/>
      <c r="G40" s="1087"/>
      <c r="H40" s="545"/>
      <c r="I40" s="538"/>
      <c r="J40" s="349"/>
      <c r="K40" s="350"/>
      <c r="L40" s="350"/>
      <c r="M40" s="350"/>
      <c r="N40" s="350"/>
      <c r="O40" s="350"/>
      <c r="P40" s="351"/>
      <c r="R40" s="490">
        <f t="shared" si="2"/>
        <v>0</v>
      </c>
      <c r="S40" s="490">
        <f t="shared" si="12"/>
        <v>0</v>
      </c>
      <c r="T40" s="490">
        <f t="shared" si="3"/>
        <v>0</v>
      </c>
      <c r="U40" s="490">
        <f t="shared" si="4"/>
        <v>0</v>
      </c>
      <c r="V40" s="489">
        <f t="shared" si="5"/>
        <v>0</v>
      </c>
      <c r="W40" s="319"/>
      <c r="X40" s="489">
        <f t="shared" si="6"/>
        <v>0</v>
      </c>
      <c r="Y40" s="490">
        <f t="shared" si="13"/>
        <v>0</v>
      </c>
      <c r="Z40" s="490">
        <f t="shared" si="7"/>
        <v>0</v>
      </c>
      <c r="AA40" s="490">
        <f t="shared" si="8"/>
        <v>0</v>
      </c>
      <c r="AB40" s="489">
        <f t="shared" si="9"/>
        <v>0</v>
      </c>
      <c r="AC40" s="497"/>
      <c r="AE40" s="443"/>
      <c r="AF40" s="443"/>
      <c r="AG40" s="443"/>
      <c r="AH40" s="443"/>
      <c r="AI40" s="443"/>
      <c r="AJ40" s="443"/>
      <c r="AK40" s="443"/>
    </row>
    <row r="41" spans="1:37" ht="14.1" customHeight="1" x14ac:dyDescent="0.25">
      <c r="A41" s="326"/>
      <c r="B41" s="348"/>
      <c r="C41" s="347"/>
      <c r="D41" s="339"/>
      <c r="E41" s="546"/>
      <c r="F41" s="1087"/>
      <c r="G41" s="1087"/>
      <c r="H41" s="545"/>
      <c r="I41" s="538"/>
      <c r="J41" s="349"/>
      <c r="K41" s="350"/>
      <c r="L41" s="350"/>
      <c r="M41" s="350"/>
      <c r="N41" s="350"/>
      <c r="O41" s="350"/>
      <c r="P41" s="351"/>
      <c r="R41" s="490">
        <f t="shared" si="2"/>
        <v>0</v>
      </c>
      <c r="S41" s="490">
        <f t="shared" si="12"/>
        <v>0</v>
      </c>
      <c r="T41" s="490">
        <f t="shared" si="3"/>
        <v>0</v>
      </c>
      <c r="U41" s="490">
        <f t="shared" si="4"/>
        <v>0</v>
      </c>
      <c r="V41" s="489">
        <f t="shared" si="5"/>
        <v>0</v>
      </c>
      <c r="W41" s="319"/>
      <c r="X41" s="489">
        <f t="shared" si="6"/>
        <v>0</v>
      </c>
      <c r="Y41" s="490">
        <f t="shared" si="13"/>
        <v>0</v>
      </c>
      <c r="Z41" s="490">
        <f t="shared" si="7"/>
        <v>0</v>
      </c>
      <c r="AA41" s="490">
        <f t="shared" si="8"/>
        <v>0</v>
      </c>
      <c r="AB41" s="489">
        <f t="shared" si="9"/>
        <v>0</v>
      </c>
      <c r="AC41" s="497"/>
      <c r="AE41" s="443"/>
      <c r="AF41" s="499" t="s">
        <v>438</v>
      </c>
      <c r="AG41" s="443"/>
      <c r="AH41" s="443"/>
      <c r="AI41" s="443"/>
      <c r="AJ41" s="443"/>
      <c r="AK41" s="443"/>
    </row>
    <row r="42" spans="1:37" ht="14.1" customHeight="1" thickBot="1" x14ac:dyDescent="0.3">
      <c r="A42" s="326"/>
      <c r="B42" s="348"/>
      <c r="C42" s="347"/>
      <c r="D42" s="339"/>
      <c r="E42" s="546">
        <v>0</v>
      </c>
      <c r="F42" s="1088"/>
      <c r="G42" s="1088"/>
      <c r="H42" s="547"/>
      <c r="I42" s="538"/>
      <c r="J42" s="352"/>
      <c r="K42" s="353"/>
      <c r="L42" s="353"/>
      <c r="M42" s="353"/>
      <c r="N42" s="353"/>
      <c r="O42" s="353"/>
      <c r="P42" s="354"/>
      <c r="R42" s="490">
        <f t="shared" si="2"/>
        <v>0</v>
      </c>
      <c r="S42" s="490">
        <f t="shared" ref="S42" si="14">R42*(1+USA)</f>
        <v>0</v>
      </c>
      <c r="T42" s="490">
        <f t="shared" ref="T42" si="15">R42*(1+$AJ$19)</f>
        <v>0</v>
      </c>
      <c r="U42" s="490">
        <f t="shared" ref="U42" si="16">R42*(1+$AJ$20)</f>
        <v>0</v>
      </c>
      <c r="V42" s="489">
        <f t="shared" si="5"/>
        <v>0</v>
      </c>
      <c r="W42" s="319"/>
      <c r="X42" s="489">
        <f t="shared" si="6"/>
        <v>0</v>
      </c>
      <c r="Y42" s="490">
        <f t="shared" ref="Y42" si="17">X42*(1+USA)</f>
        <v>0</v>
      </c>
      <c r="Z42" s="490">
        <f t="shared" ref="Z42" si="18">X42*(1+$AJ$19)</f>
        <v>0</v>
      </c>
      <c r="AA42" s="490">
        <f t="shared" ref="AA42" si="19">X42*(1+$AJ$20)</f>
        <v>0</v>
      </c>
      <c r="AB42" s="489">
        <f>((X42-(X42-N42-O42-P42))*($AJ$21))+X42</f>
        <v>0</v>
      </c>
      <c r="AC42" s="497"/>
      <c r="AE42" s="443"/>
      <c r="AF42" s="443" t="s">
        <v>483</v>
      </c>
      <c r="AG42" s="443"/>
      <c r="AH42" s="443"/>
      <c r="AI42" s="443"/>
      <c r="AJ42" s="443"/>
      <c r="AK42" s="443"/>
    </row>
    <row r="43" spans="1:37" ht="14.1" customHeight="1" thickBot="1" x14ac:dyDescent="0.25">
      <c r="A43" s="326"/>
      <c r="B43" s="355"/>
      <c r="C43" s="356"/>
      <c r="D43" s="357" t="s">
        <v>401</v>
      </c>
      <c r="E43" s="548">
        <f>SUM(E15:E42)</f>
        <v>1000</v>
      </c>
      <c r="F43" s="1089" t="s">
        <v>402</v>
      </c>
      <c r="G43" s="1090"/>
      <c r="H43" s="1090"/>
      <c r="I43" s="1090"/>
      <c r="J43" s="1091"/>
      <c r="K43" s="358">
        <f t="shared" ref="K43:P43" si="20">SUM(K15:K42)</f>
        <v>200</v>
      </c>
      <c r="L43" s="358">
        <f t="shared" si="20"/>
        <v>200</v>
      </c>
      <c r="M43" s="358">
        <f t="shared" si="20"/>
        <v>300</v>
      </c>
      <c r="N43" s="358">
        <f t="shared" si="20"/>
        <v>0</v>
      </c>
      <c r="O43" s="358">
        <f t="shared" si="20"/>
        <v>400</v>
      </c>
      <c r="P43" s="359">
        <f t="shared" si="20"/>
        <v>500</v>
      </c>
      <c r="R43" s="491">
        <f>SUM(R15:R42)</f>
        <v>665</v>
      </c>
      <c r="S43" s="491">
        <f>SUM(S15:S42)</f>
        <v>721</v>
      </c>
      <c r="T43" s="491">
        <f>SUM(T15:T42)</f>
        <v>728</v>
      </c>
      <c r="U43" s="491">
        <f>SUM(U15:U42)</f>
        <v>735</v>
      </c>
      <c r="V43" s="491">
        <f>SUM(V15:V42)</f>
        <v>735</v>
      </c>
      <c r="W43" s="319"/>
      <c r="X43" s="491">
        <f>SUM(X15:X42)</f>
        <v>925</v>
      </c>
      <c r="Y43" s="491">
        <f>SUM(Y15:Y42)</f>
        <v>997</v>
      </c>
      <c r="Z43" s="491">
        <f>SUM(Z15:Z42)</f>
        <v>1006</v>
      </c>
      <c r="AA43" s="491">
        <f>SUM(AA15:AA42)</f>
        <v>1015</v>
      </c>
      <c r="AB43" s="491">
        <f>SUM(AB15:AB42)</f>
        <v>1015</v>
      </c>
      <c r="AC43" s="498"/>
      <c r="AE43" s="443"/>
      <c r="AF43" s="443"/>
      <c r="AG43" s="443"/>
      <c r="AH43" s="508"/>
      <c r="AI43" s="508" t="s">
        <v>482</v>
      </c>
      <c r="AJ43" s="512">
        <v>0</v>
      </c>
      <c r="AK43" s="443"/>
    </row>
    <row r="44" spans="1:37" ht="14.1" customHeight="1" thickBot="1" x14ac:dyDescent="0.25">
      <c r="A44" s="326"/>
      <c r="C44" s="331"/>
      <c r="D44" s="360"/>
      <c r="G44" s="549"/>
      <c r="H44" s="549"/>
      <c r="L44" s="361" t="s">
        <v>481</v>
      </c>
      <c r="M44" s="362">
        <f>SUM(K43:M43)</f>
        <v>700</v>
      </c>
      <c r="O44" s="361" t="s">
        <v>481</v>
      </c>
      <c r="P44" s="362">
        <f>SUM(N43:P43)</f>
        <v>900</v>
      </c>
      <c r="W44" s="341"/>
      <c r="AE44" s="443"/>
      <c r="AF44" s="443"/>
      <c r="AG44" s="443"/>
      <c r="AH44" s="443"/>
      <c r="AI44" s="443"/>
      <c r="AJ44" s="443"/>
      <c r="AK44" s="443"/>
    </row>
    <row r="45" spans="1:37" ht="14.1" customHeight="1" x14ac:dyDescent="0.2">
      <c r="C45" s="331"/>
      <c r="D45" s="360"/>
      <c r="G45" s="549"/>
      <c r="H45" s="549"/>
      <c r="W45" s="341"/>
      <c r="AE45" s="443"/>
      <c r="AF45" s="499" t="s">
        <v>484</v>
      </c>
      <c r="AG45" s="443"/>
      <c r="AH45" s="443"/>
      <c r="AI45" s="443"/>
      <c r="AJ45" s="443"/>
      <c r="AK45" s="443"/>
    </row>
    <row r="46" spans="1:37" ht="14.1" customHeight="1" thickBot="1" x14ac:dyDescent="0.25">
      <c r="C46" s="331"/>
      <c r="D46" s="360"/>
      <c r="G46" s="549"/>
      <c r="H46" s="549"/>
      <c r="W46" s="341"/>
      <c r="AE46" s="443"/>
      <c r="AF46" s="443" t="s">
        <v>485</v>
      </c>
      <c r="AG46" s="443"/>
      <c r="AH46" s="443"/>
      <c r="AI46" s="443"/>
      <c r="AJ46" s="443"/>
      <c r="AK46" s="443"/>
    </row>
    <row r="47" spans="1:37" ht="15.75" thickBot="1" x14ac:dyDescent="0.25">
      <c r="C47" s="363"/>
      <c r="D47" s="1070" t="s">
        <v>430</v>
      </c>
      <c r="E47" s="1071"/>
      <c r="F47" s="1071"/>
      <c r="G47" s="1071"/>
      <c r="H47" s="549"/>
      <c r="AE47" s="443"/>
      <c r="AF47" s="443"/>
      <c r="AG47" s="443"/>
      <c r="AH47" s="443"/>
      <c r="AI47" s="508" t="s">
        <v>482</v>
      </c>
      <c r="AJ47" s="509">
        <v>7.0000000000000007E-2</v>
      </c>
      <c r="AK47" s="443"/>
    </row>
    <row r="48" spans="1:37" ht="14.1" customHeight="1" thickBot="1" x14ac:dyDescent="0.25">
      <c r="A48" s="364"/>
      <c r="B48" s="331"/>
      <c r="C48" s="365"/>
      <c r="D48" s="366" t="s">
        <v>11</v>
      </c>
      <c r="E48" s="550" t="s">
        <v>397</v>
      </c>
      <c r="F48" s="551" t="s">
        <v>396</v>
      </c>
      <c r="G48" s="552" t="s">
        <v>488</v>
      </c>
      <c r="H48" s="553" t="s">
        <v>466</v>
      </c>
      <c r="I48" s="554"/>
      <c r="J48" s="367"/>
      <c r="K48" s="367"/>
      <c r="L48" s="367"/>
      <c r="M48" s="368"/>
      <c r="AE48" s="443"/>
      <c r="AF48" s="443"/>
      <c r="AG48" s="443"/>
      <c r="AH48" s="443"/>
      <c r="AI48" s="443"/>
      <c r="AJ48" s="443"/>
      <c r="AK48" s="443"/>
    </row>
    <row r="49" spans="1:37" ht="14.1" customHeight="1" x14ac:dyDescent="0.2">
      <c r="A49" s="364"/>
      <c r="B49" s="331"/>
      <c r="C49" s="365"/>
      <c r="D49" s="369" t="s">
        <v>3</v>
      </c>
      <c r="E49" s="555"/>
      <c r="F49" s="556"/>
      <c r="G49" s="557">
        <f>E43</f>
        <v>1000</v>
      </c>
      <c r="H49" s="558" t="s">
        <v>415</v>
      </c>
      <c r="I49" s="559"/>
      <c r="J49" s="371"/>
      <c r="K49" s="371"/>
      <c r="L49" s="371"/>
      <c r="M49" s="372"/>
      <c r="W49" s="332"/>
      <c r="AE49" s="443"/>
      <c r="AF49" s="499" t="s">
        <v>487</v>
      </c>
      <c r="AG49" s="443"/>
      <c r="AH49" s="443"/>
      <c r="AI49" s="443"/>
      <c r="AJ49" s="443"/>
      <c r="AK49" s="443"/>
    </row>
    <row r="50" spans="1:37" ht="14.1" customHeight="1" x14ac:dyDescent="0.25">
      <c r="A50" s="364"/>
      <c r="B50" s="331"/>
      <c r="C50" s="365"/>
      <c r="D50" s="373" t="s">
        <v>91</v>
      </c>
      <c r="E50" s="560"/>
      <c r="F50" s="561">
        <v>38</v>
      </c>
      <c r="G50" s="562">
        <f>G49*F50</f>
        <v>38000</v>
      </c>
      <c r="H50" s="563" t="s">
        <v>413</v>
      </c>
      <c r="I50" s="564"/>
      <c r="J50" s="376"/>
      <c r="K50" s="376"/>
      <c r="L50" s="376"/>
      <c r="M50" s="377"/>
      <c r="W50" s="332"/>
      <c r="AE50" s="443"/>
      <c r="AF50" s="443"/>
      <c r="AG50" s="443"/>
      <c r="AH50" s="443"/>
      <c r="AI50" s="508" t="s">
        <v>486</v>
      </c>
      <c r="AJ50" s="513">
        <v>5.0000000000000001E-3</v>
      </c>
      <c r="AK50" s="443"/>
    </row>
    <row r="51" spans="1:37" ht="14.1" customHeight="1" x14ac:dyDescent="0.25">
      <c r="A51" s="364"/>
      <c r="B51" s="331"/>
      <c r="C51" s="365"/>
      <c r="D51" s="373" t="s">
        <v>66</v>
      </c>
      <c r="E51" s="565">
        <v>7</v>
      </c>
      <c r="F51" s="566">
        <v>800</v>
      </c>
      <c r="G51" s="562">
        <f t="shared" ref="G51:G60" si="21">E51*F51</f>
        <v>5600</v>
      </c>
      <c r="H51" s="563" t="s">
        <v>414</v>
      </c>
      <c r="I51" s="564"/>
      <c r="J51" s="376"/>
      <c r="K51" s="376"/>
      <c r="L51" s="376"/>
      <c r="M51" s="377"/>
      <c r="W51" s="332"/>
      <c r="AE51" s="443"/>
      <c r="AF51" s="443"/>
      <c r="AG51" s="443"/>
      <c r="AH51" s="443"/>
      <c r="AI51" s="508" t="s">
        <v>49</v>
      </c>
      <c r="AJ51" s="514">
        <v>0.15</v>
      </c>
      <c r="AK51" s="443"/>
    </row>
    <row r="52" spans="1:37" ht="14.1" customHeight="1" x14ac:dyDescent="0.25">
      <c r="A52" s="364"/>
      <c r="B52" s="331"/>
      <c r="C52" s="365"/>
      <c r="D52" s="373" t="s">
        <v>380</v>
      </c>
      <c r="E52" s="565">
        <v>7</v>
      </c>
      <c r="F52" s="566">
        <v>700</v>
      </c>
      <c r="G52" s="562">
        <f t="shared" si="21"/>
        <v>4900</v>
      </c>
      <c r="H52" s="563"/>
      <c r="I52" s="564"/>
      <c r="J52" s="376"/>
      <c r="K52" s="376"/>
      <c r="L52" s="376"/>
      <c r="M52" s="377"/>
      <c r="W52" s="332"/>
      <c r="AE52" s="443"/>
      <c r="AF52" s="443"/>
      <c r="AG52" s="443"/>
      <c r="AH52" s="443"/>
      <c r="AI52" s="443"/>
      <c r="AJ52" s="443"/>
      <c r="AK52" s="443"/>
    </row>
    <row r="53" spans="1:37" ht="14.1" customHeight="1" x14ac:dyDescent="0.25">
      <c r="A53" s="364"/>
      <c r="B53" s="331"/>
      <c r="C53" s="365"/>
      <c r="D53" s="373" t="s">
        <v>67</v>
      </c>
      <c r="E53" s="565">
        <v>4</v>
      </c>
      <c r="F53" s="566">
        <v>2000</v>
      </c>
      <c r="G53" s="562">
        <f t="shared" si="21"/>
        <v>8000</v>
      </c>
      <c r="H53" s="563"/>
      <c r="I53" s="567" t="s">
        <v>409</v>
      </c>
      <c r="J53" s="321"/>
      <c r="K53" s="378">
        <v>40</v>
      </c>
      <c r="L53" s="376"/>
      <c r="M53" s="377"/>
      <c r="W53" s="332"/>
      <c r="AE53" s="443"/>
      <c r="AF53" s="499"/>
      <c r="AG53" s="443"/>
      <c r="AH53" s="443"/>
      <c r="AI53" s="443"/>
      <c r="AJ53" s="443"/>
      <c r="AK53" s="443"/>
    </row>
    <row r="54" spans="1:37" ht="14.1" customHeight="1" x14ac:dyDescent="0.25">
      <c r="A54" s="364"/>
      <c r="B54" s="331"/>
      <c r="C54" s="365"/>
      <c r="D54" s="379" t="s">
        <v>88</v>
      </c>
      <c r="E54" s="568">
        <v>0</v>
      </c>
      <c r="F54" s="566">
        <v>3000</v>
      </c>
      <c r="G54" s="562">
        <f t="shared" si="21"/>
        <v>0</v>
      </c>
      <c r="H54" s="563"/>
      <c r="I54" s="567" t="s">
        <v>410</v>
      </c>
      <c r="J54" s="321"/>
      <c r="K54" s="378">
        <v>65</v>
      </c>
      <c r="L54" s="376"/>
      <c r="M54" s="377"/>
      <c r="W54" s="332"/>
      <c r="AE54" s="443"/>
      <c r="AF54" s="443"/>
      <c r="AG54" s="443"/>
      <c r="AH54" s="443"/>
      <c r="AI54" s="508" t="s">
        <v>495</v>
      </c>
      <c r="AJ54" s="513">
        <v>0.02</v>
      </c>
      <c r="AK54" s="443"/>
    </row>
    <row r="55" spans="1:37" ht="14.1" customHeight="1" x14ac:dyDescent="0.2">
      <c r="A55" s="364"/>
      <c r="B55" s="331"/>
      <c r="C55" s="365"/>
      <c r="D55" s="379" t="s">
        <v>87</v>
      </c>
      <c r="E55" s="568">
        <v>0</v>
      </c>
      <c r="F55" s="566">
        <v>5000</v>
      </c>
      <c r="G55" s="562">
        <f t="shared" si="21"/>
        <v>0</v>
      </c>
      <c r="H55" s="563"/>
      <c r="I55" s="567" t="s">
        <v>97</v>
      </c>
      <c r="J55" s="321"/>
      <c r="K55" s="378">
        <v>65</v>
      </c>
      <c r="L55" s="376"/>
      <c r="M55" s="377"/>
      <c r="W55" s="332"/>
      <c r="AE55" s="443"/>
      <c r="AF55" s="443"/>
      <c r="AG55" s="443"/>
      <c r="AH55" s="443"/>
      <c r="AI55" s="443"/>
      <c r="AJ55" s="443"/>
      <c r="AK55" s="443"/>
    </row>
    <row r="56" spans="1:37" ht="14.1" customHeight="1" x14ac:dyDescent="0.2">
      <c r="A56" s="364"/>
      <c r="B56" s="331"/>
      <c r="C56" s="365"/>
      <c r="D56" s="379" t="s">
        <v>64</v>
      </c>
      <c r="E56" s="568">
        <v>0</v>
      </c>
      <c r="F56" s="566">
        <v>6000</v>
      </c>
      <c r="G56" s="562">
        <f t="shared" si="21"/>
        <v>0</v>
      </c>
      <c r="H56" s="563"/>
      <c r="I56" s="567" t="s">
        <v>419</v>
      </c>
      <c r="J56" s="321"/>
      <c r="K56" s="378">
        <v>85</v>
      </c>
      <c r="L56" s="376"/>
      <c r="M56" s="377"/>
      <c r="W56" s="332"/>
      <c r="AE56" s="443"/>
      <c r="AF56" s="443"/>
      <c r="AG56" s="443"/>
      <c r="AH56" s="443"/>
      <c r="AI56" s="443"/>
      <c r="AJ56" s="443"/>
      <c r="AK56" s="443"/>
    </row>
    <row r="57" spans="1:37" ht="14.1" customHeight="1" x14ac:dyDescent="0.2">
      <c r="A57" s="364"/>
      <c r="B57" s="331"/>
      <c r="C57" s="365"/>
      <c r="D57" s="373" t="s">
        <v>390</v>
      </c>
      <c r="E57" s="568">
        <v>0</v>
      </c>
      <c r="F57" s="566">
        <v>700</v>
      </c>
      <c r="G57" s="562">
        <f t="shared" si="21"/>
        <v>0</v>
      </c>
      <c r="H57" s="563"/>
      <c r="I57" s="567" t="s">
        <v>411</v>
      </c>
      <c r="J57" s="321"/>
      <c r="K57" s="378">
        <v>120</v>
      </c>
      <c r="L57" s="376"/>
      <c r="M57" s="377"/>
      <c r="W57" s="332"/>
    </row>
    <row r="58" spans="1:37" ht="14.1" customHeight="1" x14ac:dyDescent="0.2">
      <c r="A58" s="364"/>
      <c r="B58" s="331"/>
      <c r="C58" s="365"/>
      <c r="D58" s="373" t="s">
        <v>391</v>
      </c>
      <c r="E58" s="568">
        <v>0</v>
      </c>
      <c r="F58" s="566">
        <v>1500</v>
      </c>
      <c r="G58" s="562">
        <f t="shared" si="21"/>
        <v>0</v>
      </c>
      <c r="H58" s="563"/>
      <c r="I58" s="567" t="s">
        <v>412</v>
      </c>
      <c r="J58" s="321"/>
      <c r="K58" s="378">
        <v>150</v>
      </c>
      <c r="L58" s="376"/>
      <c r="M58" s="377"/>
      <c r="W58" s="332"/>
    </row>
    <row r="59" spans="1:37" ht="14.1" customHeight="1" x14ac:dyDescent="0.2">
      <c r="A59" s="364"/>
      <c r="B59" s="331"/>
      <c r="C59" s="365"/>
      <c r="D59" s="373" t="s">
        <v>392</v>
      </c>
      <c r="E59" s="568">
        <v>0</v>
      </c>
      <c r="F59" s="566">
        <v>2000</v>
      </c>
      <c r="G59" s="562">
        <f t="shared" si="21"/>
        <v>0</v>
      </c>
      <c r="H59" s="563"/>
      <c r="I59" s="567" t="s">
        <v>99</v>
      </c>
      <c r="J59" s="321"/>
      <c r="K59" s="378">
        <v>160</v>
      </c>
      <c r="L59" s="376"/>
      <c r="M59" s="377"/>
      <c r="W59" s="332"/>
    </row>
    <row r="60" spans="1:37" ht="14.1" customHeight="1" thickBot="1" x14ac:dyDescent="0.25">
      <c r="A60" s="364"/>
      <c r="B60" s="331"/>
      <c r="C60" s="365"/>
      <c r="D60" s="380" t="s">
        <v>244</v>
      </c>
      <c r="E60" s="569">
        <v>2</v>
      </c>
      <c r="F60" s="570">
        <v>650</v>
      </c>
      <c r="G60" s="571">
        <f t="shared" si="21"/>
        <v>1300</v>
      </c>
      <c r="H60" s="572"/>
      <c r="I60" s="573"/>
      <c r="J60" s="381"/>
      <c r="K60" s="381"/>
      <c r="L60" s="382"/>
      <c r="M60" s="383"/>
      <c r="W60" s="332"/>
    </row>
    <row r="61" spans="1:37" ht="14.1" customHeight="1" x14ac:dyDescent="0.2">
      <c r="A61" s="364"/>
      <c r="B61" s="331"/>
      <c r="C61" s="365"/>
      <c r="D61" s="384" t="s">
        <v>393</v>
      </c>
      <c r="E61" s="574"/>
      <c r="F61" s="575"/>
      <c r="G61" s="557">
        <f>SUM(G50:G60)</f>
        <v>57800</v>
      </c>
      <c r="J61" s="325"/>
      <c r="W61" s="332"/>
    </row>
    <row r="62" spans="1:37" ht="14.1" customHeight="1" thickBot="1" x14ac:dyDescent="0.25">
      <c r="A62" s="364"/>
      <c r="B62" s="331"/>
      <c r="C62" s="365"/>
      <c r="D62" s="385" t="s">
        <v>245</v>
      </c>
      <c r="E62" s="576"/>
      <c r="F62" s="577">
        <v>143</v>
      </c>
      <c r="G62" s="571">
        <f>G61/F62</f>
        <v>404.19580419580421</v>
      </c>
      <c r="W62" s="332"/>
    </row>
    <row r="63" spans="1:37" ht="14.1" customHeight="1" x14ac:dyDescent="0.2">
      <c r="A63" s="364"/>
      <c r="B63" s="331"/>
      <c r="C63" s="365"/>
      <c r="D63" s="373" t="s">
        <v>40</v>
      </c>
      <c r="E63" s="578">
        <v>0</v>
      </c>
      <c r="F63" s="566">
        <v>20</v>
      </c>
      <c r="G63" s="562">
        <f>E63*F63</f>
        <v>0</v>
      </c>
      <c r="H63" s="1092" t="s">
        <v>473</v>
      </c>
      <c r="W63" s="332"/>
    </row>
    <row r="64" spans="1:37" ht="14.1" customHeight="1" x14ac:dyDescent="0.2">
      <c r="A64" s="364"/>
      <c r="B64" s="331"/>
      <c r="C64" s="365"/>
      <c r="D64" s="373" t="s">
        <v>250</v>
      </c>
      <c r="E64" s="568">
        <v>0</v>
      </c>
      <c r="F64" s="566">
        <v>5</v>
      </c>
      <c r="G64" s="562">
        <f>E64*F64</f>
        <v>0</v>
      </c>
      <c r="H64" s="1093"/>
      <c r="W64" s="332"/>
    </row>
    <row r="65" spans="1:40" ht="14.1" customHeight="1" thickBot="1" x14ac:dyDescent="0.25">
      <c r="A65" s="364"/>
      <c r="B65" s="331"/>
      <c r="C65" s="365"/>
      <c r="D65" s="386" t="s">
        <v>251</v>
      </c>
      <c r="E65" s="579">
        <v>0</v>
      </c>
      <c r="F65" s="570">
        <v>3</v>
      </c>
      <c r="G65" s="571">
        <f>E65*F65</f>
        <v>0</v>
      </c>
      <c r="H65" s="1094"/>
      <c r="W65" s="332"/>
    </row>
    <row r="66" spans="1:40" ht="14.1" customHeight="1" thickBot="1" x14ac:dyDescent="0.25">
      <c r="A66" s="364"/>
      <c r="B66" s="331"/>
      <c r="C66" s="365"/>
      <c r="D66" s="387" t="s">
        <v>431</v>
      </c>
      <c r="E66" s="580"/>
      <c r="F66" s="581"/>
      <c r="G66" s="582">
        <f>SUM(G62:G65)</f>
        <v>404.19580419580421</v>
      </c>
      <c r="H66" s="583">
        <f>G66+(G66*AJ24)</f>
        <v>505.24475524475525</v>
      </c>
      <c r="W66" s="332"/>
    </row>
    <row r="67" spans="1:40" ht="14.1" customHeight="1" thickBot="1" x14ac:dyDescent="0.25">
      <c r="A67" s="364"/>
      <c r="C67" s="365"/>
      <c r="E67" s="527"/>
      <c r="F67" s="527"/>
      <c r="W67" s="332"/>
    </row>
    <row r="68" spans="1:40" ht="14.1" customHeight="1" thickBot="1" x14ac:dyDescent="0.25">
      <c r="A68" s="326"/>
      <c r="C68" s="365"/>
      <c r="D68" s="366" t="s">
        <v>17</v>
      </c>
      <c r="E68" s="551" t="s">
        <v>7</v>
      </c>
      <c r="F68" s="584" t="s">
        <v>400</v>
      </c>
      <c r="G68" s="552" t="s">
        <v>488</v>
      </c>
      <c r="W68" s="332"/>
    </row>
    <row r="69" spans="1:40" ht="14.1" customHeight="1" x14ac:dyDescent="0.2">
      <c r="A69" s="326"/>
      <c r="C69" s="365"/>
      <c r="D69" s="388" t="s">
        <v>143</v>
      </c>
      <c r="E69" s="578">
        <v>0</v>
      </c>
      <c r="F69" s="556">
        <v>55</v>
      </c>
      <c r="G69" s="557">
        <f>E69*F69</f>
        <v>0</v>
      </c>
      <c r="W69" s="332"/>
    </row>
    <row r="70" spans="1:40" ht="14.1" customHeight="1" x14ac:dyDescent="0.2">
      <c r="A70" s="326"/>
      <c r="C70" s="365"/>
      <c r="D70" s="373" t="s">
        <v>423</v>
      </c>
      <c r="E70" s="568">
        <v>0</v>
      </c>
      <c r="F70" s="566">
        <v>25</v>
      </c>
      <c r="G70" s="562">
        <f>E70*F70</f>
        <v>0</v>
      </c>
      <c r="W70" s="332"/>
    </row>
    <row r="71" spans="1:40" ht="14.1" customHeight="1" x14ac:dyDescent="0.2">
      <c r="A71" s="326"/>
      <c r="C71" s="365"/>
      <c r="D71" s="373" t="s">
        <v>144</v>
      </c>
      <c r="E71" s="568">
        <v>0</v>
      </c>
      <c r="F71" s="566">
        <v>55</v>
      </c>
      <c r="G71" s="562">
        <f>E71*F71</f>
        <v>0</v>
      </c>
      <c r="W71" s="332"/>
    </row>
    <row r="72" spans="1:40" ht="14.1" customHeight="1" x14ac:dyDescent="0.2">
      <c r="A72" s="326"/>
      <c r="C72" s="365"/>
      <c r="D72" s="373" t="s">
        <v>423</v>
      </c>
      <c r="E72" s="568">
        <v>0</v>
      </c>
      <c r="F72" s="566">
        <v>25</v>
      </c>
      <c r="G72" s="562">
        <f>E72*F72</f>
        <v>0</v>
      </c>
      <c r="W72" s="332"/>
    </row>
    <row r="73" spans="1:40" ht="14.1" customHeight="1" thickBot="1" x14ac:dyDescent="0.25">
      <c r="A73" s="326"/>
      <c r="C73" s="365"/>
      <c r="D73" s="373" t="s">
        <v>145</v>
      </c>
      <c r="E73" s="568">
        <v>0</v>
      </c>
      <c r="F73" s="566">
        <v>25</v>
      </c>
      <c r="G73" s="562">
        <f t="shared" ref="G73" si="22">E73*F73</f>
        <v>0</v>
      </c>
      <c r="W73" s="332"/>
    </row>
    <row r="74" spans="1:40" ht="14.1" customHeight="1" x14ac:dyDescent="0.2">
      <c r="A74" s="326"/>
      <c r="C74" s="365"/>
      <c r="D74" s="373" t="s">
        <v>490</v>
      </c>
      <c r="E74" s="568">
        <v>0</v>
      </c>
      <c r="F74" s="566">
        <f>COUNT(C15:C42)*3</f>
        <v>45</v>
      </c>
      <c r="G74" s="562">
        <f>E74*F74</f>
        <v>0</v>
      </c>
      <c r="H74" s="1092" t="s">
        <v>473</v>
      </c>
      <c r="W74" s="332"/>
    </row>
    <row r="75" spans="1:40" ht="14.1" customHeight="1" x14ac:dyDescent="0.2">
      <c r="A75" s="326"/>
      <c r="C75" s="365"/>
      <c r="D75" s="373" t="s">
        <v>233</v>
      </c>
      <c r="E75" s="568">
        <v>0</v>
      </c>
      <c r="F75" s="566">
        <v>20</v>
      </c>
      <c r="G75" s="562">
        <f>E75*F75</f>
        <v>0</v>
      </c>
      <c r="H75" s="1093"/>
      <c r="W75" s="332"/>
    </row>
    <row r="76" spans="1:40" ht="14.1" customHeight="1" thickBot="1" x14ac:dyDescent="0.25">
      <c r="A76" s="326"/>
      <c r="C76" s="365"/>
      <c r="D76" s="386" t="s">
        <v>76</v>
      </c>
      <c r="E76" s="569">
        <v>0</v>
      </c>
      <c r="F76" s="570">
        <v>12</v>
      </c>
      <c r="G76" s="571">
        <f t="shared" ref="G76" si="23">E76*F76</f>
        <v>0</v>
      </c>
      <c r="H76" s="1094"/>
      <c r="W76" s="332"/>
    </row>
    <row r="77" spans="1:40" s="330" customFormat="1" ht="14.1" customHeight="1" thickBot="1" x14ac:dyDescent="0.25">
      <c r="A77" s="389"/>
      <c r="C77" s="365"/>
      <c r="D77" s="390" t="s">
        <v>432</v>
      </c>
      <c r="E77" s="580"/>
      <c r="F77" s="585"/>
      <c r="G77" s="586">
        <f>SUM(G69:G76)</f>
        <v>0</v>
      </c>
      <c r="H77" s="583">
        <f>G77+(G77*AJ25)</f>
        <v>0</v>
      </c>
      <c r="I77" s="587"/>
      <c r="J77" s="332"/>
      <c r="L77" s="325"/>
      <c r="R77" s="325"/>
      <c r="S77" s="325"/>
      <c r="T77" s="325"/>
      <c r="U77" s="325"/>
      <c r="V77" s="325"/>
      <c r="W77" s="332"/>
      <c r="X77" s="325"/>
      <c r="Y77" s="325"/>
      <c r="Z77" s="325"/>
      <c r="AA77" s="325"/>
      <c r="AB77" s="325"/>
      <c r="AC77" s="325"/>
      <c r="AD77" s="325"/>
      <c r="AE77" s="325"/>
      <c r="AF77" s="325"/>
      <c r="AG77" s="325"/>
      <c r="AH77" s="325"/>
      <c r="AI77" s="325"/>
      <c r="AJ77" s="325"/>
      <c r="AK77" s="325"/>
    </row>
    <row r="78" spans="1:40" ht="14.1" customHeight="1" thickBot="1" x14ac:dyDescent="0.25">
      <c r="A78" s="326"/>
      <c r="C78" s="365"/>
      <c r="D78" s="331"/>
      <c r="E78" s="527"/>
      <c r="F78" s="527"/>
      <c r="K78" s="341"/>
      <c r="L78" s="332"/>
      <c r="M78" s="332"/>
      <c r="N78" s="332"/>
      <c r="O78" s="332"/>
      <c r="P78" s="332"/>
      <c r="Q78" s="332"/>
      <c r="W78" s="332"/>
      <c r="AL78" s="332"/>
      <c r="AM78" s="332"/>
      <c r="AN78" s="332"/>
    </row>
    <row r="79" spans="1:40" ht="14.1" customHeight="1" thickBot="1" x14ac:dyDescent="0.25">
      <c r="A79" s="326"/>
      <c r="C79" s="365"/>
      <c r="D79" s="391" t="s">
        <v>458</v>
      </c>
      <c r="E79" s="588" t="s">
        <v>7</v>
      </c>
      <c r="F79" s="584" t="s">
        <v>400</v>
      </c>
      <c r="G79" s="589" t="s">
        <v>441</v>
      </c>
      <c r="H79" s="584" t="s">
        <v>488</v>
      </c>
      <c r="I79" s="590" t="s">
        <v>461</v>
      </c>
      <c r="J79" s="392" t="s">
        <v>476</v>
      </c>
      <c r="K79" s="393"/>
      <c r="L79" s="394"/>
      <c r="N79" s="332"/>
      <c r="Y79" s="332"/>
    </row>
    <row r="80" spans="1:40" ht="14.1" customHeight="1" x14ac:dyDescent="0.2">
      <c r="A80" s="326"/>
      <c r="C80" s="365"/>
      <c r="D80" s="388" t="s">
        <v>403</v>
      </c>
      <c r="E80" s="591">
        <v>4</v>
      </c>
      <c r="F80" s="591">
        <v>666</v>
      </c>
      <c r="G80" s="592" t="s">
        <v>384</v>
      </c>
      <c r="H80" s="591">
        <f>F80*E80</f>
        <v>2664</v>
      </c>
      <c r="I80" s="593">
        <f>IF(G80=$AF$29,H80*(1+$AG$29),H80*(1+$AG$30))</f>
        <v>2930.4</v>
      </c>
      <c r="J80" s="370" t="s">
        <v>467</v>
      </c>
      <c r="K80" s="371"/>
      <c r="L80" s="372"/>
    </row>
    <row r="81" spans="1:23" ht="14.1" customHeight="1" x14ac:dyDescent="0.2">
      <c r="A81" s="326"/>
      <c r="C81" s="365"/>
      <c r="D81" s="395" t="s">
        <v>404</v>
      </c>
      <c r="E81" s="568">
        <v>4</v>
      </c>
      <c r="F81" s="591">
        <v>583</v>
      </c>
      <c r="G81" s="592" t="s">
        <v>384</v>
      </c>
      <c r="H81" s="591">
        <f>F81*E81</f>
        <v>2332</v>
      </c>
      <c r="I81" s="594">
        <f>IF(G81=$AF$29,H81*(1+$AG$29),H81*(1+$AG$30))</f>
        <v>2565.2000000000003</v>
      </c>
      <c r="J81" s="374" t="s">
        <v>468</v>
      </c>
      <c r="K81" s="375"/>
      <c r="L81" s="377"/>
    </row>
    <row r="82" spans="1:23" ht="14.1" customHeight="1" thickBot="1" x14ac:dyDescent="0.25">
      <c r="A82" s="326"/>
      <c r="C82" s="365"/>
      <c r="D82" s="395" t="s">
        <v>405</v>
      </c>
      <c r="E82" s="568"/>
      <c r="F82" s="591">
        <v>0</v>
      </c>
      <c r="G82" s="592"/>
      <c r="H82" s="591">
        <f>F82*E82</f>
        <v>0</v>
      </c>
      <c r="I82" s="594">
        <f>IF(G82=$AF$29,H82*(1+$AG$29),H82*(1+$AG$30))</f>
        <v>0</v>
      </c>
      <c r="J82" s="396" t="s">
        <v>414</v>
      </c>
      <c r="K82" s="397"/>
      <c r="L82" s="383"/>
    </row>
    <row r="83" spans="1:23" ht="14.1" customHeight="1" thickBot="1" x14ac:dyDescent="0.25">
      <c r="A83" s="326"/>
      <c r="C83" s="365"/>
      <c r="D83" s="398" t="s">
        <v>406</v>
      </c>
      <c r="E83" s="569"/>
      <c r="F83" s="595">
        <v>0</v>
      </c>
      <c r="G83" s="596"/>
      <c r="H83" s="595">
        <f>F83*E83</f>
        <v>0</v>
      </c>
      <c r="I83" s="597">
        <f>IF(G83=$AF$29,H83*(1+$AG$29),H83*(1+$AG$30))</f>
        <v>0</v>
      </c>
      <c r="J83" s="325"/>
      <c r="L83" s="332"/>
    </row>
    <row r="84" spans="1:23" ht="14.1" customHeight="1" thickBot="1" x14ac:dyDescent="0.25">
      <c r="A84" s="326"/>
      <c r="C84" s="365"/>
      <c r="D84" s="399" t="s">
        <v>433</v>
      </c>
      <c r="E84" s="580"/>
      <c r="F84" s="585"/>
      <c r="G84" s="585"/>
      <c r="H84" s="598">
        <f>SUM(H80:H83)</f>
        <v>4996</v>
      </c>
      <c r="I84" s="599">
        <f>SUM(I80:I83)</f>
        <v>5495.6</v>
      </c>
      <c r="J84" s="325"/>
      <c r="L84" s="332"/>
    </row>
    <row r="85" spans="1:23" ht="14.1" customHeight="1" thickBot="1" x14ac:dyDescent="0.25">
      <c r="A85" s="326"/>
      <c r="E85" s="527"/>
      <c r="F85" s="527"/>
      <c r="J85" s="325"/>
      <c r="L85" s="332"/>
    </row>
    <row r="86" spans="1:23" ht="14.1" customHeight="1" thickBot="1" x14ac:dyDescent="0.25">
      <c r="A86" s="326"/>
      <c r="E86" s="527"/>
      <c r="F86" s="527"/>
      <c r="G86" s="549"/>
      <c r="I86" s="1095" t="s">
        <v>462</v>
      </c>
      <c r="J86" s="1096"/>
      <c r="K86" s="1096"/>
      <c r="L86" s="1096"/>
      <c r="M86" s="1097"/>
      <c r="W86" s="332"/>
    </row>
    <row r="87" spans="1:23" ht="15.75" thickBot="1" x14ac:dyDescent="0.25">
      <c r="A87" s="364"/>
      <c r="C87" s="400"/>
      <c r="D87" s="401" t="s">
        <v>456</v>
      </c>
      <c r="E87" s="600"/>
      <c r="F87" s="600"/>
      <c r="G87" s="601" t="s">
        <v>366</v>
      </c>
      <c r="H87" s="602"/>
      <c r="I87" s="1098" t="s">
        <v>442</v>
      </c>
      <c r="J87" s="1099"/>
      <c r="K87" s="1100"/>
      <c r="L87" s="1098" t="s">
        <v>243</v>
      </c>
      <c r="M87" s="1101"/>
      <c r="W87" s="332"/>
    </row>
    <row r="88" spans="1:23" ht="14.1" customHeight="1" thickBot="1" x14ac:dyDescent="0.25">
      <c r="A88" s="326"/>
      <c r="C88" s="402"/>
      <c r="D88" s="403" t="s">
        <v>457</v>
      </c>
      <c r="E88" s="603" t="s">
        <v>7</v>
      </c>
      <c r="F88" s="604" t="s">
        <v>437</v>
      </c>
      <c r="G88" s="604" t="s">
        <v>441</v>
      </c>
      <c r="H88" s="584" t="s">
        <v>488</v>
      </c>
      <c r="I88" s="605" t="s">
        <v>407</v>
      </c>
      <c r="J88" s="404" t="s">
        <v>443</v>
      </c>
      <c r="K88" s="404" t="s">
        <v>444</v>
      </c>
      <c r="L88" s="520" t="s">
        <v>529</v>
      </c>
      <c r="M88" s="521" t="s">
        <v>531</v>
      </c>
      <c r="N88" s="1086" t="s">
        <v>477</v>
      </c>
      <c r="O88" s="1086"/>
      <c r="P88" s="1086"/>
    </row>
    <row r="89" spans="1:23" ht="14.1" customHeight="1" x14ac:dyDescent="0.25">
      <c r="A89" s="326"/>
      <c r="C89" s="402"/>
      <c r="D89" s="405" t="s">
        <v>513</v>
      </c>
      <c r="E89" s="606">
        <v>2</v>
      </c>
      <c r="F89" s="607">
        <v>30</v>
      </c>
      <c r="G89" s="608" t="s">
        <v>385</v>
      </c>
      <c r="H89" s="607">
        <f>E89*F89</f>
        <v>60</v>
      </c>
      <c r="I89" s="609">
        <f>IF(G89=$AF$39,H89*(1+$AG$39),IF(G89=$AF$38,H89*(1+$AG$38),IF(G89=$AF$37,H89*(1+$AG$37),IF(G89=$AF$36,H89*(1+$AG$36),H89*(1+$AG$35)))))</f>
        <v>84</v>
      </c>
      <c r="J89" s="444">
        <f>(H89*$AJ$36)+I89</f>
        <v>81</v>
      </c>
      <c r="K89" s="444">
        <f>(H89*$AJ$37)+I89</f>
        <v>84</v>
      </c>
      <c r="L89" s="487">
        <f>(H89*$AJ$38)+I89</f>
        <v>85.2</v>
      </c>
      <c r="M89" s="490">
        <f>(H89*$AJ$40)+I89</f>
        <v>84</v>
      </c>
      <c r="N89" s="515" t="s">
        <v>478</v>
      </c>
      <c r="O89" s="515"/>
      <c r="P89" s="516"/>
    </row>
    <row r="90" spans="1:23" ht="14.1" customHeight="1" x14ac:dyDescent="0.25">
      <c r="A90" s="326"/>
      <c r="C90" s="402"/>
      <c r="D90" s="405" t="s">
        <v>514</v>
      </c>
      <c r="E90" s="606">
        <v>4</v>
      </c>
      <c r="F90" s="610">
        <v>30</v>
      </c>
      <c r="G90" s="608" t="s">
        <v>366</v>
      </c>
      <c r="H90" s="607">
        <f t="shared" ref="H90:H115" si="24">E90*F90</f>
        <v>120</v>
      </c>
      <c r="I90" s="609">
        <f t="shared" ref="I90:I117" si="25">IF(G90=$AF$39,H90*(1+$AG$39),IF(G90=$AF$38,H90*(1+$AG$38),IF(G90=$AF$37,H90*(1+$AG$37),IF(G90=$AF$36,H90*(1+$AG$36),H90*(1+$AG$35)))))</f>
        <v>132</v>
      </c>
      <c r="J90" s="444">
        <f t="shared" ref="J90:J115" si="26">(H90*$AJ$37)+I90</f>
        <v>132</v>
      </c>
      <c r="K90" s="444">
        <f t="shared" ref="K90:K115" si="27">(H90*$AJ$38)+I90</f>
        <v>134.4</v>
      </c>
      <c r="L90" s="487">
        <f t="shared" ref="L90:L115" si="28">(H90*$AJ$39)+I90</f>
        <v>141.6</v>
      </c>
      <c r="M90" s="490">
        <f t="shared" ref="M90:M117" si="29">(H90*$AJ$40)+I90</f>
        <v>132</v>
      </c>
      <c r="N90" s="376" t="s">
        <v>479</v>
      </c>
      <c r="O90" s="376"/>
      <c r="P90" s="517"/>
    </row>
    <row r="91" spans="1:23" ht="14.1" customHeight="1" x14ac:dyDescent="0.25">
      <c r="A91" s="326"/>
      <c r="C91" s="402"/>
      <c r="D91" s="405" t="s">
        <v>515</v>
      </c>
      <c r="E91" s="606">
        <v>3</v>
      </c>
      <c r="F91" s="610">
        <v>15</v>
      </c>
      <c r="G91" s="608" t="s">
        <v>366</v>
      </c>
      <c r="H91" s="607">
        <f t="shared" si="24"/>
        <v>45</v>
      </c>
      <c r="I91" s="609">
        <f t="shared" si="25"/>
        <v>49.500000000000007</v>
      </c>
      <c r="J91" s="444">
        <f t="shared" si="26"/>
        <v>49.500000000000007</v>
      </c>
      <c r="K91" s="444">
        <f t="shared" si="27"/>
        <v>50.400000000000006</v>
      </c>
      <c r="L91" s="487">
        <f t="shared" si="28"/>
        <v>53.100000000000009</v>
      </c>
      <c r="M91" s="490">
        <f t="shared" si="29"/>
        <v>49.500000000000007</v>
      </c>
      <c r="N91" s="518" t="s">
        <v>480</v>
      </c>
      <c r="O91" s="518"/>
      <c r="P91" s="519"/>
    </row>
    <row r="92" spans="1:23" ht="14.1" customHeight="1" x14ac:dyDescent="0.25">
      <c r="A92" s="326"/>
      <c r="C92" s="402"/>
      <c r="D92" s="405" t="s">
        <v>516</v>
      </c>
      <c r="E92" s="606">
        <v>5</v>
      </c>
      <c r="F92" s="610">
        <v>30</v>
      </c>
      <c r="G92" s="608" t="s">
        <v>366</v>
      </c>
      <c r="H92" s="607">
        <f t="shared" si="24"/>
        <v>150</v>
      </c>
      <c r="I92" s="609">
        <f t="shared" si="25"/>
        <v>165</v>
      </c>
      <c r="J92" s="444">
        <f t="shared" si="26"/>
        <v>165</v>
      </c>
      <c r="K92" s="444">
        <f t="shared" si="27"/>
        <v>168</v>
      </c>
      <c r="L92" s="487">
        <f t="shared" si="28"/>
        <v>177</v>
      </c>
      <c r="M92" s="490">
        <f t="shared" si="29"/>
        <v>165</v>
      </c>
    </row>
    <row r="93" spans="1:23" ht="14.1" customHeight="1" x14ac:dyDescent="0.25">
      <c r="A93" s="326"/>
      <c r="C93" s="402"/>
      <c r="D93" s="407" t="s">
        <v>54</v>
      </c>
      <c r="E93" s="606">
        <v>0</v>
      </c>
      <c r="F93" s="610">
        <v>80</v>
      </c>
      <c r="G93" s="608" t="s">
        <v>366</v>
      </c>
      <c r="H93" s="607">
        <f t="shared" si="24"/>
        <v>0</v>
      </c>
      <c r="I93" s="609">
        <f t="shared" si="25"/>
        <v>0</v>
      </c>
      <c r="J93" s="444">
        <f t="shared" si="26"/>
        <v>0</v>
      </c>
      <c r="K93" s="444">
        <f t="shared" si="27"/>
        <v>0</v>
      </c>
      <c r="L93" s="487">
        <f t="shared" si="28"/>
        <v>0</v>
      </c>
      <c r="M93" s="490">
        <f t="shared" si="29"/>
        <v>0</v>
      </c>
    </row>
    <row r="94" spans="1:23" ht="14.1" customHeight="1" x14ac:dyDescent="0.25">
      <c r="A94" s="326"/>
      <c r="C94" s="402"/>
      <c r="D94" s="407" t="s">
        <v>210</v>
      </c>
      <c r="E94" s="606">
        <v>0</v>
      </c>
      <c r="F94" s="610">
        <v>30</v>
      </c>
      <c r="G94" s="608" t="s">
        <v>366</v>
      </c>
      <c r="H94" s="607">
        <f t="shared" si="24"/>
        <v>0</v>
      </c>
      <c r="I94" s="609">
        <f t="shared" si="25"/>
        <v>0</v>
      </c>
      <c r="J94" s="444">
        <f t="shared" si="26"/>
        <v>0</v>
      </c>
      <c r="K94" s="444">
        <f t="shared" si="27"/>
        <v>0</v>
      </c>
      <c r="L94" s="487">
        <f t="shared" si="28"/>
        <v>0</v>
      </c>
      <c r="M94" s="490">
        <f t="shared" si="29"/>
        <v>0</v>
      </c>
    </row>
    <row r="95" spans="1:23" ht="14.1" customHeight="1" x14ac:dyDescent="0.25">
      <c r="A95" s="326"/>
      <c r="C95" s="402"/>
      <c r="D95" s="407" t="s">
        <v>517</v>
      </c>
      <c r="E95" s="606">
        <v>0</v>
      </c>
      <c r="F95" s="610">
        <v>0</v>
      </c>
      <c r="G95" s="608" t="s">
        <v>366</v>
      </c>
      <c r="H95" s="607">
        <f t="shared" si="24"/>
        <v>0</v>
      </c>
      <c r="I95" s="609">
        <f t="shared" si="25"/>
        <v>0</v>
      </c>
      <c r="J95" s="444">
        <f t="shared" si="26"/>
        <v>0</v>
      </c>
      <c r="K95" s="444">
        <f t="shared" si="27"/>
        <v>0</v>
      </c>
      <c r="L95" s="487">
        <f t="shared" si="28"/>
        <v>0</v>
      </c>
      <c r="M95" s="490">
        <f t="shared" si="29"/>
        <v>0</v>
      </c>
    </row>
    <row r="96" spans="1:23" ht="14.1" customHeight="1" x14ac:dyDescent="0.25">
      <c r="A96" s="326"/>
      <c r="C96" s="402"/>
      <c r="D96" s="407" t="s">
        <v>518</v>
      </c>
      <c r="E96" s="606">
        <v>0</v>
      </c>
      <c r="F96" s="610">
        <v>30</v>
      </c>
      <c r="G96" s="608" t="s">
        <v>366</v>
      </c>
      <c r="H96" s="607">
        <f t="shared" si="24"/>
        <v>0</v>
      </c>
      <c r="I96" s="609">
        <f t="shared" si="25"/>
        <v>0</v>
      </c>
      <c r="J96" s="444">
        <f t="shared" si="26"/>
        <v>0</v>
      </c>
      <c r="K96" s="444">
        <f t="shared" si="27"/>
        <v>0</v>
      </c>
      <c r="L96" s="487">
        <f t="shared" si="28"/>
        <v>0</v>
      </c>
      <c r="M96" s="490">
        <f t="shared" si="29"/>
        <v>0</v>
      </c>
    </row>
    <row r="97" spans="1:14" ht="14.1" customHeight="1" x14ac:dyDescent="0.25">
      <c r="A97" s="326"/>
      <c r="C97" s="402"/>
      <c r="D97" s="407" t="s">
        <v>253</v>
      </c>
      <c r="E97" s="606">
        <v>0</v>
      </c>
      <c r="F97" s="610">
        <v>150</v>
      </c>
      <c r="G97" s="608" t="s">
        <v>366</v>
      </c>
      <c r="H97" s="607">
        <f t="shared" si="24"/>
        <v>0</v>
      </c>
      <c r="I97" s="609">
        <f t="shared" si="25"/>
        <v>0</v>
      </c>
      <c r="J97" s="444">
        <f t="shared" si="26"/>
        <v>0</v>
      </c>
      <c r="K97" s="444">
        <f t="shared" si="27"/>
        <v>0</v>
      </c>
      <c r="L97" s="487">
        <f t="shared" si="28"/>
        <v>0</v>
      </c>
      <c r="M97" s="490">
        <f t="shared" si="29"/>
        <v>0</v>
      </c>
    </row>
    <row r="98" spans="1:14" ht="14.1" customHeight="1" x14ac:dyDescent="0.25">
      <c r="A98" s="326"/>
      <c r="C98" s="402"/>
      <c r="D98" s="407" t="s">
        <v>519</v>
      </c>
      <c r="E98" s="606">
        <v>0</v>
      </c>
      <c r="F98" s="610">
        <v>10</v>
      </c>
      <c r="G98" s="608" t="s">
        <v>366</v>
      </c>
      <c r="H98" s="607">
        <f t="shared" si="24"/>
        <v>0</v>
      </c>
      <c r="I98" s="609">
        <f t="shared" si="25"/>
        <v>0</v>
      </c>
      <c r="J98" s="444">
        <f t="shared" si="26"/>
        <v>0</v>
      </c>
      <c r="K98" s="444">
        <f t="shared" si="27"/>
        <v>0</v>
      </c>
      <c r="L98" s="487">
        <f t="shared" si="28"/>
        <v>0</v>
      </c>
      <c r="M98" s="490">
        <f t="shared" si="29"/>
        <v>0</v>
      </c>
    </row>
    <row r="99" spans="1:14" ht="14.1" customHeight="1" x14ac:dyDescent="0.25">
      <c r="A99" s="326"/>
      <c r="C99" s="402"/>
      <c r="D99" s="407" t="s">
        <v>162</v>
      </c>
      <c r="E99" s="606">
        <v>0</v>
      </c>
      <c r="F99" s="610">
        <v>10</v>
      </c>
      <c r="G99" s="608" t="s">
        <v>366</v>
      </c>
      <c r="H99" s="607">
        <f t="shared" si="24"/>
        <v>0</v>
      </c>
      <c r="I99" s="609">
        <f t="shared" si="25"/>
        <v>0</v>
      </c>
      <c r="J99" s="444">
        <f t="shared" si="26"/>
        <v>0</v>
      </c>
      <c r="K99" s="444">
        <f t="shared" si="27"/>
        <v>0</v>
      </c>
      <c r="L99" s="487">
        <f t="shared" si="28"/>
        <v>0</v>
      </c>
      <c r="M99" s="490">
        <f t="shared" si="29"/>
        <v>0</v>
      </c>
    </row>
    <row r="100" spans="1:14" ht="14.1" customHeight="1" x14ac:dyDescent="0.25">
      <c r="A100" s="326"/>
      <c r="C100" s="402"/>
      <c r="D100" s="407" t="s">
        <v>164</v>
      </c>
      <c r="E100" s="606">
        <v>0</v>
      </c>
      <c r="F100" s="610">
        <v>15</v>
      </c>
      <c r="G100" s="608" t="s">
        <v>366</v>
      </c>
      <c r="H100" s="607">
        <f t="shared" si="24"/>
        <v>0</v>
      </c>
      <c r="I100" s="609">
        <f t="shared" si="25"/>
        <v>0</v>
      </c>
      <c r="J100" s="444">
        <f t="shared" si="26"/>
        <v>0</v>
      </c>
      <c r="K100" s="444">
        <f t="shared" si="27"/>
        <v>0</v>
      </c>
      <c r="L100" s="487">
        <f t="shared" si="28"/>
        <v>0</v>
      </c>
      <c r="M100" s="490">
        <f t="shared" si="29"/>
        <v>0</v>
      </c>
    </row>
    <row r="101" spans="1:14" ht="14.1" customHeight="1" x14ac:dyDescent="0.25">
      <c r="A101" s="326"/>
      <c r="C101" s="402"/>
      <c r="D101" s="407" t="s">
        <v>166</v>
      </c>
      <c r="E101" s="606">
        <v>0</v>
      </c>
      <c r="F101" s="610">
        <v>10</v>
      </c>
      <c r="G101" s="608" t="s">
        <v>366</v>
      </c>
      <c r="H101" s="607">
        <f t="shared" si="24"/>
        <v>0</v>
      </c>
      <c r="I101" s="609">
        <f t="shared" si="25"/>
        <v>0</v>
      </c>
      <c r="J101" s="444">
        <f t="shared" si="26"/>
        <v>0</v>
      </c>
      <c r="K101" s="444">
        <f t="shared" si="27"/>
        <v>0</v>
      </c>
      <c r="L101" s="487">
        <f t="shared" si="28"/>
        <v>0</v>
      </c>
      <c r="M101" s="490">
        <f t="shared" si="29"/>
        <v>0</v>
      </c>
    </row>
    <row r="102" spans="1:14" ht="14.1" customHeight="1" x14ac:dyDescent="0.25">
      <c r="A102" s="326"/>
      <c r="C102" s="402"/>
      <c r="D102" s="407" t="s">
        <v>165</v>
      </c>
      <c r="E102" s="606">
        <v>0</v>
      </c>
      <c r="F102" s="610">
        <v>20</v>
      </c>
      <c r="G102" s="608" t="s">
        <v>366</v>
      </c>
      <c r="H102" s="607">
        <f t="shared" si="24"/>
        <v>0</v>
      </c>
      <c r="I102" s="609">
        <f t="shared" si="25"/>
        <v>0</v>
      </c>
      <c r="J102" s="444">
        <f t="shared" si="26"/>
        <v>0</v>
      </c>
      <c r="K102" s="444">
        <f t="shared" si="27"/>
        <v>0</v>
      </c>
      <c r="L102" s="487">
        <f t="shared" si="28"/>
        <v>0</v>
      </c>
      <c r="M102" s="490">
        <f t="shared" si="29"/>
        <v>0</v>
      </c>
    </row>
    <row r="103" spans="1:14" ht="14.1" customHeight="1" x14ac:dyDescent="0.25">
      <c r="A103" s="326"/>
      <c r="C103" s="402"/>
      <c r="D103" s="407" t="s">
        <v>257</v>
      </c>
      <c r="E103" s="606">
        <v>0</v>
      </c>
      <c r="F103" s="610">
        <v>30</v>
      </c>
      <c r="G103" s="608" t="s">
        <v>366</v>
      </c>
      <c r="H103" s="607">
        <f t="shared" si="24"/>
        <v>0</v>
      </c>
      <c r="I103" s="609">
        <f t="shared" si="25"/>
        <v>0</v>
      </c>
      <c r="J103" s="444">
        <f t="shared" si="26"/>
        <v>0</v>
      </c>
      <c r="K103" s="444">
        <f t="shared" si="27"/>
        <v>0</v>
      </c>
      <c r="L103" s="487">
        <f t="shared" si="28"/>
        <v>0</v>
      </c>
      <c r="M103" s="490">
        <f t="shared" si="29"/>
        <v>0</v>
      </c>
    </row>
    <row r="104" spans="1:14" ht="14.1" customHeight="1" x14ac:dyDescent="0.25">
      <c r="A104" s="326"/>
      <c r="C104" s="402"/>
      <c r="D104" s="407" t="s">
        <v>169</v>
      </c>
      <c r="E104" s="606">
        <v>0</v>
      </c>
      <c r="F104" s="610">
        <v>20</v>
      </c>
      <c r="G104" s="608" t="s">
        <v>366</v>
      </c>
      <c r="H104" s="607">
        <f t="shared" si="24"/>
        <v>0</v>
      </c>
      <c r="I104" s="609">
        <f t="shared" si="25"/>
        <v>0</v>
      </c>
      <c r="J104" s="444">
        <f t="shared" si="26"/>
        <v>0</v>
      </c>
      <c r="K104" s="444">
        <f t="shared" si="27"/>
        <v>0</v>
      </c>
      <c r="L104" s="487">
        <f t="shared" si="28"/>
        <v>0</v>
      </c>
      <c r="M104" s="490">
        <f t="shared" si="29"/>
        <v>0</v>
      </c>
    </row>
    <row r="105" spans="1:14" ht="14.1" customHeight="1" x14ac:dyDescent="0.25">
      <c r="A105" s="326"/>
      <c r="C105" s="402"/>
      <c r="D105" s="407" t="s">
        <v>173</v>
      </c>
      <c r="E105" s="606">
        <v>0</v>
      </c>
      <c r="F105" s="610">
        <v>0</v>
      </c>
      <c r="G105" s="608" t="s">
        <v>366</v>
      </c>
      <c r="H105" s="607">
        <f t="shared" si="24"/>
        <v>0</v>
      </c>
      <c r="I105" s="609">
        <f t="shared" si="25"/>
        <v>0</v>
      </c>
      <c r="J105" s="444">
        <f t="shared" si="26"/>
        <v>0</v>
      </c>
      <c r="K105" s="444">
        <f t="shared" si="27"/>
        <v>0</v>
      </c>
      <c r="L105" s="487">
        <f t="shared" si="28"/>
        <v>0</v>
      </c>
      <c r="M105" s="490">
        <f t="shared" si="29"/>
        <v>0</v>
      </c>
    </row>
    <row r="106" spans="1:14" ht="14.1" customHeight="1" x14ac:dyDescent="0.25">
      <c r="A106" s="326"/>
      <c r="C106" s="402"/>
      <c r="D106" s="407" t="s">
        <v>520</v>
      </c>
      <c r="E106" s="606">
        <v>0</v>
      </c>
      <c r="F106" s="610">
        <v>50</v>
      </c>
      <c r="G106" s="608" t="s">
        <v>366</v>
      </c>
      <c r="H106" s="607">
        <f t="shared" si="24"/>
        <v>0</v>
      </c>
      <c r="I106" s="609">
        <f t="shared" si="25"/>
        <v>0</v>
      </c>
      <c r="J106" s="444">
        <f t="shared" si="26"/>
        <v>0</v>
      </c>
      <c r="K106" s="444">
        <f t="shared" si="27"/>
        <v>0</v>
      </c>
      <c r="L106" s="487">
        <f t="shared" si="28"/>
        <v>0</v>
      </c>
      <c r="M106" s="490">
        <f t="shared" si="29"/>
        <v>0</v>
      </c>
      <c r="N106" s="341"/>
    </row>
    <row r="107" spans="1:14" ht="14.1" customHeight="1" x14ac:dyDescent="0.25">
      <c r="A107" s="326"/>
      <c r="C107" s="402"/>
      <c r="D107" s="407" t="s">
        <v>181</v>
      </c>
      <c r="E107" s="568">
        <v>0</v>
      </c>
      <c r="F107" s="610">
        <v>0</v>
      </c>
      <c r="G107" s="608" t="s">
        <v>366</v>
      </c>
      <c r="H107" s="607">
        <f t="shared" si="24"/>
        <v>0</v>
      </c>
      <c r="I107" s="609">
        <f t="shared" si="25"/>
        <v>0</v>
      </c>
      <c r="J107" s="444">
        <f t="shared" si="26"/>
        <v>0</v>
      </c>
      <c r="K107" s="444">
        <f t="shared" si="27"/>
        <v>0</v>
      </c>
      <c r="L107" s="487">
        <f t="shared" si="28"/>
        <v>0</v>
      </c>
      <c r="M107" s="490">
        <f t="shared" si="29"/>
        <v>0</v>
      </c>
      <c r="N107" s="341"/>
    </row>
    <row r="108" spans="1:14" ht="14.1" customHeight="1" x14ac:dyDescent="0.25">
      <c r="A108" s="326"/>
      <c r="C108" s="402"/>
      <c r="D108" s="407" t="s">
        <v>183</v>
      </c>
      <c r="E108" s="611">
        <v>0</v>
      </c>
      <c r="F108" s="610">
        <v>10</v>
      </c>
      <c r="G108" s="608" t="s">
        <v>366</v>
      </c>
      <c r="H108" s="607">
        <f t="shared" si="24"/>
        <v>0</v>
      </c>
      <c r="I108" s="609">
        <f t="shared" si="25"/>
        <v>0</v>
      </c>
      <c r="J108" s="444">
        <f t="shared" si="26"/>
        <v>0</v>
      </c>
      <c r="K108" s="444">
        <f t="shared" si="27"/>
        <v>0</v>
      </c>
      <c r="L108" s="487">
        <f t="shared" si="28"/>
        <v>0</v>
      </c>
      <c r="M108" s="490">
        <f t="shared" si="29"/>
        <v>0</v>
      </c>
    </row>
    <row r="109" spans="1:14" ht="14.1" customHeight="1" x14ac:dyDescent="0.25">
      <c r="A109" s="326"/>
      <c r="C109" s="402"/>
      <c r="D109" s="407" t="s">
        <v>187</v>
      </c>
      <c r="E109" s="611">
        <v>0</v>
      </c>
      <c r="F109" s="610">
        <v>0</v>
      </c>
      <c r="G109" s="608" t="s">
        <v>366</v>
      </c>
      <c r="H109" s="607">
        <f t="shared" si="24"/>
        <v>0</v>
      </c>
      <c r="I109" s="609">
        <f t="shared" si="25"/>
        <v>0</v>
      </c>
      <c r="J109" s="444">
        <f t="shared" si="26"/>
        <v>0</v>
      </c>
      <c r="K109" s="444">
        <f t="shared" si="27"/>
        <v>0</v>
      </c>
      <c r="L109" s="487">
        <f t="shared" si="28"/>
        <v>0</v>
      </c>
      <c r="M109" s="490">
        <f t="shared" si="29"/>
        <v>0</v>
      </c>
    </row>
    <row r="110" spans="1:14" ht="14.1" customHeight="1" x14ac:dyDescent="0.25">
      <c r="A110" s="326"/>
      <c r="C110" s="402"/>
      <c r="D110" s="407" t="s">
        <v>521</v>
      </c>
      <c r="E110" s="611">
        <v>0</v>
      </c>
      <c r="F110" s="610">
        <v>60</v>
      </c>
      <c r="G110" s="608" t="s">
        <v>366</v>
      </c>
      <c r="H110" s="607">
        <f t="shared" si="24"/>
        <v>0</v>
      </c>
      <c r="I110" s="609">
        <f t="shared" si="25"/>
        <v>0</v>
      </c>
      <c r="J110" s="444">
        <f t="shared" si="26"/>
        <v>0</v>
      </c>
      <c r="K110" s="444">
        <f t="shared" si="27"/>
        <v>0</v>
      </c>
      <c r="L110" s="487">
        <f t="shared" si="28"/>
        <v>0</v>
      </c>
      <c r="M110" s="490">
        <f t="shared" si="29"/>
        <v>0</v>
      </c>
    </row>
    <row r="111" spans="1:14" ht="14.1" customHeight="1" x14ac:dyDescent="0.25">
      <c r="A111" s="326"/>
      <c r="C111" s="402"/>
      <c r="D111" s="407" t="s">
        <v>327</v>
      </c>
      <c r="E111" s="611">
        <v>0</v>
      </c>
      <c r="F111" s="610">
        <v>45</v>
      </c>
      <c r="G111" s="608" t="s">
        <v>366</v>
      </c>
      <c r="H111" s="607">
        <f t="shared" si="24"/>
        <v>0</v>
      </c>
      <c r="I111" s="609">
        <f t="shared" si="25"/>
        <v>0</v>
      </c>
      <c r="J111" s="444">
        <f t="shared" si="26"/>
        <v>0</v>
      </c>
      <c r="K111" s="444">
        <f t="shared" si="27"/>
        <v>0</v>
      </c>
      <c r="L111" s="487">
        <f t="shared" si="28"/>
        <v>0</v>
      </c>
      <c r="M111" s="490">
        <f t="shared" si="29"/>
        <v>0</v>
      </c>
    </row>
    <row r="112" spans="1:14" ht="14.1" customHeight="1" x14ac:dyDescent="0.25">
      <c r="A112" s="326"/>
      <c r="C112" s="402"/>
      <c r="D112" s="407" t="s">
        <v>522</v>
      </c>
      <c r="E112" s="611">
        <v>0</v>
      </c>
      <c r="F112" s="610">
        <v>50</v>
      </c>
      <c r="G112" s="608" t="s">
        <v>366</v>
      </c>
      <c r="H112" s="607">
        <f t="shared" si="24"/>
        <v>0</v>
      </c>
      <c r="I112" s="609">
        <f t="shared" si="25"/>
        <v>0</v>
      </c>
      <c r="J112" s="444">
        <f t="shared" si="26"/>
        <v>0</v>
      </c>
      <c r="K112" s="444">
        <f t="shared" si="27"/>
        <v>0</v>
      </c>
      <c r="L112" s="487">
        <f t="shared" si="28"/>
        <v>0</v>
      </c>
      <c r="M112" s="490">
        <f t="shared" si="29"/>
        <v>0</v>
      </c>
    </row>
    <row r="113" spans="1:36" ht="14.1" customHeight="1" x14ac:dyDescent="0.25">
      <c r="A113" s="326"/>
      <c r="C113" s="402"/>
      <c r="D113" s="407" t="s">
        <v>523</v>
      </c>
      <c r="E113" s="611">
        <v>0</v>
      </c>
      <c r="F113" s="610">
        <v>0</v>
      </c>
      <c r="G113" s="608" t="s">
        <v>366</v>
      </c>
      <c r="H113" s="607">
        <f t="shared" si="24"/>
        <v>0</v>
      </c>
      <c r="I113" s="609">
        <f t="shared" si="25"/>
        <v>0</v>
      </c>
      <c r="J113" s="444">
        <f t="shared" si="26"/>
        <v>0</v>
      </c>
      <c r="K113" s="444">
        <f t="shared" si="27"/>
        <v>0</v>
      </c>
      <c r="L113" s="487">
        <f t="shared" si="28"/>
        <v>0</v>
      </c>
      <c r="M113" s="490">
        <f t="shared" si="29"/>
        <v>0</v>
      </c>
    </row>
    <row r="114" spans="1:36" ht="14.1" customHeight="1" x14ac:dyDescent="0.25">
      <c r="A114" s="326"/>
      <c r="C114" s="402"/>
      <c r="D114" s="407" t="s">
        <v>524</v>
      </c>
      <c r="E114" s="611">
        <v>0</v>
      </c>
      <c r="F114" s="610">
        <v>0</v>
      </c>
      <c r="G114" s="608" t="s">
        <v>366</v>
      </c>
      <c r="H114" s="607">
        <f t="shared" si="24"/>
        <v>0</v>
      </c>
      <c r="I114" s="609">
        <f t="shared" si="25"/>
        <v>0</v>
      </c>
      <c r="J114" s="444">
        <f t="shared" si="26"/>
        <v>0</v>
      </c>
      <c r="K114" s="444">
        <f t="shared" si="27"/>
        <v>0</v>
      </c>
      <c r="L114" s="487">
        <f t="shared" si="28"/>
        <v>0</v>
      </c>
      <c r="M114" s="490">
        <f t="shared" si="29"/>
        <v>0</v>
      </c>
    </row>
    <row r="115" spans="1:36" ht="14.1" customHeight="1" x14ac:dyDescent="0.25">
      <c r="A115" s="326"/>
      <c r="C115" s="402"/>
      <c r="D115" s="407" t="s">
        <v>525</v>
      </c>
      <c r="E115" s="611">
        <v>0</v>
      </c>
      <c r="F115" s="610">
        <v>0</v>
      </c>
      <c r="G115" s="608" t="s">
        <v>366</v>
      </c>
      <c r="H115" s="607">
        <f t="shared" si="24"/>
        <v>0</v>
      </c>
      <c r="I115" s="609">
        <f t="shared" si="25"/>
        <v>0</v>
      </c>
      <c r="J115" s="444">
        <f t="shared" si="26"/>
        <v>0</v>
      </c>
      <c r="K115" s="444">
        <f t="shared" si="27"/>
        <v>0</v>
      </c>
      <c r="L115" s="487">
        <f t="shared" si="28"/>
        <v>0</v>
      </c>
      <c r="M115" s="490">
        <f t="shared" si="29"/>
        <v>0</v>
      </c>
    </row>
    <row r="116" spans="1:36" ht="14.1" customHeight="1" x14ac:dyDescent="0.25">
      <c r="A116" s="326"/>
      <c r="C116" s="402"/>
      <c r="D116" s="395"/>
      <c r="E116" s="611"/>
      <c r="F116" s="610"/>
      <c r="G116" s="612"/>
      <c r="H116" s="607"/>
      <c r="I116" s="609">
        <f t="shared" si="25"/>
        <v>0</v>
      </c>
      <c r="J116" s="444"/>
      <c r="K116" s="444"/>
      <c r="L116" s="487"/>
      <c r="M116" s="490">
        <f t="shared" si="29"/>
        <v>0</v>
      </c>
    </row>
    <row r="117" spans="1:36" ht="14.1" customHeight="1" thickBot="1" x14ac:dyDescent="0.3">
      <c r="A117" s="326"/>
      <c r="C117" s="402"/>
      <c r="D117" s="395"/>
      <c r="E117" s="613"/>
      <c r="F117" s="610"/>
      <c r="G117" s="612"/>
      <c r="H117" s="607"/>
      <c r="I117" s="609">
        <f t="shared" si="25"/>
        <v>0</v>
      </c>
      <c r="J117" s="444"/>
      <c r="K117" s="444"/>
      <c r="L117" s="487"/>
      <c r="M117" s="490">
        <f t="shared" si="29"/>
        <v>0</v>
      </c>
    </row>
    <row r="118" spans="1:36" ht="14.1" customHeight="1" thickBot="1" x14ac:dyDescent="0.25">
      <c r="A118" s="326"/>
      <c r="C118" s="402"/>
      <c r="D118" s="408" t="s">
        <v>456</v>
      </c>
      <c r="E118" s="614"/>
      <c r="F118" s="586"/>
      <c r="G118" s="586"/>
      <c r="H118" s="586">
        <f t="shared" ref="H118:M118" si="30">SUM(H89:H117)</f>
        <v>375</v>
      </c>
      <c r="I118" s="615">
        <f t="shared" si="30"/>
        <v>430.5</v>
      </c>
      <c r="J118" s="445">
        <f t="shared" si="30"/>
        <v>427.5</v>
      </c>
      <c r="K118" s="445">
        <f t="shared" si="30"/>
        <v>436.8</v>
      </c>
      <c r="L118" s="488">
        <f t="shared" si="30"/>
        <v>456.90000000000003</v>
      </c>
      <c r="M118" s="522">
        <f t="shared" si="30"/>
        <v>430.5</v>
      </c>
    </row>
    <row r="119" spans="1:36" ht="14.1" customHeight="1" thickBot="1" x14ac:dyDescent="0.25">
      <c r="A119" s="326"/>
      <c r="E119" s="527"/>
      <c r="F119" s="527"/>
      <c r="J119" s="325"/>
    </row>
    <row r="120" spans="1:36" ht="15.75" thickBot="1" x14ac:dyDescent="0.25">
      <c r="A120" s="364"/>
      <c r="C120" s="409"/>
      <c r="D120" s="1070" t="s">
        <v>438</v>
      </c>
      <c r="E120" s="1071"/>
      <c r="F120" s="1071"/>
      <c r="G120" s="1072"/>
      <c r="W120" s="332"/>
    </row>
    <row r="121" spans="1:36" ht="14.1" customHeight="1" thickBot="1" x14ac:dyDescent="0.25">
      <c r="A121" s="326"/>
      <c r="C121" s="410"/>
      <c r="D121" s="411" t="s">
        <v>381</v>
      </c>
      <c r="E121" s="604" t="s">
        <v>7</v>
      </c>
      <c r="F121" s="604" t="s">
        <v>437</v>
      </c>
      <c r="G121" s="584" t="s">
        <v>488</v>
      </c>
      <c r="J121" s="325"/>
    </row>
    <row r="122" spans="1:36" ht="14.1" customHeight="1" x14ac:dyDescent="0.2">
      <c r="A122" s="326"/>
      <c r="C122" s="410"/>
      <c r="D122" s="373" t="s">
        <v>272</v>
      </c>
      <c r="E122" s="616"/>
      <c r="F122" s="591">
        <v>25</v>
      </c>
      <c r="G122" s="617">
        <f t="shared" ref="G122:G131" si="31">E122*F122</f>
        <v>0</v>
      </c>
      <c r="J122" s="325"/>
      <c r="AE122" s="332"/>
    </row>
    <row r="123" spans="1:36" ht="14.1" customHeight="1" x14ac:dyDescent="0.2">
      <c r="A123" s="326"/>
      <c r="C123" s="410"/>
      <c r="D123" s="373" t="s">
        <v>270</v>
      </c>
      <c r="E123" s="611"/>
      <c r="F123" s="568">
        <v>30</v>
      </c>
      <c r="G123" s="617">
        <f t="shared" si="31"/>
        <v>0</v>
      </c>
      <c r="J123" s="325"/>
      <c r="AE123" s="332"/>
    </row>
    <row r="124" spans="1:36" ht="14.1" customHeight="1" x14ac:dyDescent="0.2">
      <c r="A124" s="326"/>
      <c r="C124" s="410"/>
      <c r="D124" s="373" t="s">
        <v>271</v>
      </c>
      <c r="E124" s="611"/>
      <c r="F124" s="568">
        <v>30</v>
      </c>
      <c r="G124" s="617">
        <f t="shared" si="31"/>
        <v>0</v>
      </c>
      <c r="J124" s="325"/>
      <c r="AE124" s="332"/>
    </row>
    <row r="125" spans="1:36" ht="14.1" customHeight="1" x14ac:dyDescent="0.2">
      <c r="A125" s="326"/>
      <c r="C125" s="410"/>
      <c r="D125" s="373" t="s">
        <v>418</v>
      </c>
      <c r="E125" s="611"/>
      <c r="F125" s="568">
        <v>15</v>
      </c>
      <c r="G125" s="617">
        <f t="shared" si="31"/>
        <v>0</v>
      </c>
      <c r="J125" s="325"/>
      <c r="AE125" s="332"/>
    </row>
    <row r="126" spans="1:36" ht="14.1" customHeight="1" x14ac:dyDescent="0.2">
      <c r="A126" s="326"/>
      <c r="C126" s="410"/>
      <c r="D126" s="373" t="s">
        <v>274</v>
      </c>
      <c r="E126" s="611"/>
      <c r="F126" s="568">
        <v>10</v>
      </c>
      <c r="G126" s="617">
        <f t="shared" si="31"/>
        <v>0</v>
      </c>
      <c r="J126" s="325"/>
      <c r="AI126" s="332"/>
      <c r="AJ126" s="332"/>
    </row>
    <row r="127" spans="1:36" ht="14.1" customHeight="1" x14ac:dyDescent="0.2">
      <c r="A127" s="326"/>
      <c r="C127" s="410"/>
      <c r="D127" s="395"/>
      <c r="E127" s="611"/>
      <c r="F127" s="568">
        <v>0</v>
      </c>
      <c r="G127" s="617">
        <f t="shared" si="31"/>
        <v>0</v>
      </c>
      <c r="J127" s="325"/>
    </row>
    <row r="128" spans="1:36" ht="14.1" customHeight="1" x14ac:dyDescent="0.2">
      <c r="A128" s="326"/>
      <c r="C128" s="410"/>
      <c r="D128" s="395"/>
      <c r="E128" s="611"/>
      <c r="F128" s="568">
        <v>0</v>
      </c>
      <c r="G128" s="617">
        <f t="shared" si="31"/>
        <v>0</v>
      </c>
      <c r="J128" s="325"/>
    </row>
    <row r="129" spans="1:40" ht="14.1" customHeight="1" x14ac:dyDescent="0.2">
      <c r="A129" s="326"/>
      <c r="C129" s="410"/>
      <c r="D129" s="395"/>
      <c r="E129" s="611"/>
      <c r="F129" s="568">
        <v>0</v>
      </c>
      <c r="G129" s="617">
        <f t="shared" si="31"/>
        <v>0</v>
      </c>
      <c r="J129" s="325"/>
    </row>
    <row r="130" spans="1:40" ht="14.1" customHeight="1" x14ac:dyDescent="0.2">
      <c r="A130" s="326"/>
      <c r="C130" s="410"/>
      <c r="D130" s="395"/>
      <c r="E130" s="611"/>
      <c r="F130" s="568">
        <v>0</v>
      </c>
      <c r="G130" s="617">
        <f t="shared" si="31"/>
        <v>0</v>
      </c>
      <c r="J130" s="325"/>
    </row>
    <row r="131" spans="1:40" ht="14.1" customHeight="1" thickBot="1" x14ac:dyDescent="0.25">
      <c r="A131" s="326"/>
      <c r="C131" s="410"/>
      <c r="D131" s="395"/>
      <c r="E131" s="613"/>
      <c r="F131" s="569">
        <v>0</v>
      </c>
      <c r="G131" s="617">
        <f t="shared" si="31"/>
        <v>0</v>
      </c>
      <c r="J131" s="325"/>
    </row>
    <row r="132" spans="1:40" ht="14.1" customHeight="1" thickBot="1" x14ac:dyDescent="0.25">
      <c r="A132" s="326"/>
      <c r="C132" s="412"/>
      <c r="D132" s="390" t="s">
        <v>438</v>
      </c>
      <c r="E132" s="586">
        <f>SUM(E122:E131)</f>
        <v>0</v>
      </c>
      <c r="F132" s="586"/>
      <c r="G132" s="586">
        <f>SUM(G122:G131)</f>
        <v>0</v>
      </c>
      <c r="J132" s="325"/>
    </row>
    <row r="133" spans="1:40" ht="14.1" customHeight="1" thickBot="1" x14ac:dyDescent="0.25">
      <c r="A133" s="326"/>
      <c r="C133" s="331"/>
      <c r="D133" s="331"/>
      <c r="G133" s="526"/>
      <c r="H133" s="526"/>
      <c r="J133" s="325"/>
    </row>
    <row r="134" spans="1:40" ht="15.75" thickBot="1" x14ac:dyDescent="0.25">
      <c r="A134" s="326"/>
      <c r="C134" s="1073"/>
      <c r="D134" s="1070" t="s">
        <v>434</v>
      </c>
      <c r="E134" s="1071"/>
      <c r="F134" s="1071"/>
      <c r="G134" s="1071"/>
      <c r="K134" s="341"/>
      <c r="L134" s="332"/>
      <c r="M134" s="332"/>
      <c r="N134" s="332"/>
      <c r="O134" s="332"/>
      <c r="P134" s="332"/>
      <c r="Q134" s="332"/>
      <c r="R134" s="332"/>
      <c r="S134" s="332"/>
      <c r="T134" s="332"/>
      <c r="U134" s="332"/>
      <c r="V134" s="332"/>
      <c r="W134" s="332"/>
      <c r="X134" s="332"/>
      <c r="Y134" s="332"/>
      <c r="Z134" s="332"/>
      <c r="AA134" s="332"/>
      <c r="AB134" s="332"/>
      <c r="AC134" s="332"/>
      <c r="AD134" s="332"/>
      <c r="AL134" s="332"/>
      <c r="AM134" s="332"/>
      <c r="AN134" s="332"/>
    </row>
    <row r="135" spans="1:40" ht="14.1" customHeight="1" thickBot="1" x14ac:dyDescent="0.25">
      <c r="A135" s="326"/>
      <c r="C135" s="1074"/>
      <c r="D135" s="413"/>
      <c r="E135" s="618" t="s">
        <v>426</v>
      </c>
      <c r="F135" s="618" t="s">
        <v>447</v>
      </c>
      <c r="G135" s="584" t="s">
        <v>488</v>
      </c>
      <c r="H135" s="619" t="s">
        <v>473</v>
      </c>
      <c r="I135" s="620"/>
      <c r="J135" s="414"/>
      <c r="K135" s="341"/>
      <c r="L135" s="332"/>
      <c r="M135" s="332"/>
      <c r="N135" s="332"/>
      <c r="O135" s="332"/>
      <c r="P135" s="332"/>
      <c r="Q135" s="332"/>
      <c r="R135" s="332"/>
      <c r="S135" s="332"/>
      <c r="T135" s="332"/>
      <c r="U135" s="332"/>
      <c r="V135" s="332"/>
      <c r="W135" s="332"/>
      <c r="X135" s="332"/>
      <c r="Y135" s="332"/>
      <c r="Z135" s="332"/>
      <c r="AA135" s="332"/>
      <c r="AB135" s="332"/>
      <c r="AC135" s="332"/>
      <c r="AD135" s="332"/>
      <c r="AL135" s="332"/>
      <c r="AM135" s="332"/>
      <c r="AN135" s="332"/>
    </row>
    <row r="136" spans="1:40" ht="14.1" customHeight="1" thickBot="1" x14ac:dyDescent="0.25">
      <c r="A136" s="326"/>
      <c r="C136" s="1075"/>
      <c r="D136" s="408" t="s">
        <v>439</v>
      </c>
      <c r="E136" s="621">
        <v>0</v>
      </c>
      <c r="F136" s="622">
        <v>0</v>
      </c>
      <c r="G136" s="623">
        <f>E136*F136</f>
        <v>0</v>
      </c>
      <c r="H136" s="599">
        <f>G136+(G136*AJ50)</f>
        <v>0</v>
      </c>
      <c r="K136" s="341"/>
      <c r="P136" s="332"/>
      <c r="Q136" s="332"/>
      <c r="R136" s="332"/>
      <c r="S136" s="332"/>
      <c r="T136" s="332"/>
      <c r="U136" s="332"/>
      <c r="V136" s="332"/>
      <c r="W136" s="332"/>
      <c r="X136" s="332"/>
      <c r="Y136" s="332"/>
      <c r="Z136" s="332"/>
      <c r="AA136" s="332"/>
      <c r="AB136" s="332"/>
      <c r="AC136" s="332"/>
      <c r="AD136" s="332"/>
      <c r="AL136" s="332"/>
      <c r="AM136" s="332"/>
      <c r="AN136" s="332"/>
    </row>
    <row r="137" spans="1:40" ht="14.1" customHeight="1" thickBot="1" x14ac:dyDescent="0.25">
      <c r="A137" s="326"/>
      <c r="C137" s="331"/>
      <c r="E137" s="527"/>
      <c r="F137" s="527"/>
      <c r="K137" s="341"/>
      <c r="P137" s="332"/>
      <c r="Q137" s="332"/>
      <c r="R137" s="332"/>
      <c r="S137" s="332"/>
      <c r="T137" s="332"/>
      <c r="U137" s="332"/>
      <c r="V137" s="332"/>
      <c r="W137" s="332"/>
      <c r="X137" s="332"/>
      <c r="Y137" s="332"/>
      <c r="Z137" s="332"/>
      <c r="AA137" s="332"/>
      <c r="AB137" s="332"/>
      <c r="AC137" s="332"/>
      <c r="AD137" s="332"/>
      <c r="AL137" s="332"/>
      <c r="AM137" s="332"/>
      <c r="AN137" s="332"/>
    </row>
    <row r="138" spans="1:40" ht="38.25" customHeight="1" thickBot="1" x14ac:dyDescent="0.25">
      <c r="C138" s="415"/>
      <c r="D138" s="416" t="s">
        <v>435</v>
      </c>
      <c r="E138" s="624" t="str">
        <f>D7</f>
        <v>FIT - SLIS</v>
      </c>
      <c r="F138" s="527"/>
      <c r="J138" s="325"/>
      <c r="M138" s="332"/>
      <c r="N138" s="332"/>
      <c r="O138" s="332"/>
      <c r="P138" s="332"/>
      <c r="Q138" s="332"/>
      <c r="R138" s="332"/>
      <c r="S138" s="332"/>
      <c r="T138" s="332"/>
      <c r="U138" s="332"/>
      <c r="V138" s="332"/>
      <c r="W138" s="332"/>
      <c r="X138" s="332"/>
      <c r="Y138" s="332"/>
      <c r="Z138" s="332"/>
    </row>
    <row r="139" spans="1:40" ht="14.1" customHeight="1" x14ac:dyDescent="0.2">
      <c r="C139" s="417"/>
      <c r="D139" s="418" t="s">
        <v>450</v>
      </c>
      <c r="E139" s="625"/>
      <c r="F139" s="527"/>
      <c r="J139" s="325"/>
    </row>
    <row r="140" spans="1:40" ht="14.1" customHeight="1" x14ac:dyDescent="0.2">
      <c r="C140" s="417"/>
      <c r="D140" s="419" t="s">
        <v>382</v>
      </c>
      <c r="E140" s="626">
        <f>IF($E$138=$E$193,E195,IF($E$138=$F$193,F195,IF($E$138=$G$193,G195,IF($E$138=$H$193,H195,IF($E$138=$I$193,I195,0)))))</f>
        <v>900</v>
      </c>
      <c r="F140" s="527"/>
      <c r="J140" s="325"/>
    </row>
    <row r="141" spans="1:40" ht="14.1" customHeight="1" x14ac:dyDescent="0.2">
      <c r="C141" s="417"/>
      <c r="D141" s="419" t="s">
        <v>383</v>
      </c>
      <c r="E141" s="626">
        <f>IF($E$138=$E$193,E196,IF($E$138=$F$193,F196,IF($E$138=$G$193,G196,IF($E$138=$H$193,H196,IF($E$138=$I$193,I196,0)))))</f>
        <v>700</v>
      </c>
      <c r="F141" s="527"/>
      <c r="J141" s="325"/>
    </row>
    <row r="142" spans="1:40" ht="14.1" customHeight="1" x14ac:dyDescent="0.2">
      <c r="C142" s="417"/>
      <c r="D142" s="420" t="s">
        <v>436</v>
      </c>
      <c r="E142" s="626">
        <f t="shared" ref="E142:E145" si="32">IF($E$138=$E$193,E197,IF($E$138=$F$193,F197,IF($E$138=$G$193,G197,IF($E$138=$H$193,H197,IF($E$138=$I$193,I197,0)))))</f>
        <v>5400.1958041958042</v>
      </c>
      <c r="F142" s="527"/>
      <c r="J142" s="325"/>
    </row>
    <row r="143" spans="1:40" ht="14.1" customHeight="1" x14ac:dyDescent="0.2">
      <c r="C143" s="417"/>
      <c r="D143" s="420" t="s">
        <v>420</v>
      </c>
      <c r="E143" s="626">
        <f t="shared" si="32"/>
        <v>375</v>
      </c>
      <c r="F143" s="527"/>
      <c r="J143" s="325"/>
    </row>
    <row r="144" spans="1:40" ht="14.1" customHeight="1" x14ac:dyDescent="0.2">
      <c r="C144" s="417"/>
      <c r="D144" s="420" t="s">
        <v>438</v>
      </c>
      <c r="E144" s="626">
        <f t="shared" si="32"/>
        <v>0</v>
      </c>
      <c r="F144" s="527"/>
      <c r="J144" s="325"/>
    </row>
    <row r="145" spans="3:10" ht="14.1" customHeight="1" x14ac:dyDescent="0.2">
      <c r="C145" s="417"/>
      <c r="D145" s="420" t="s">
        <v>434</v>
      </c>
      <c r="E145" s="626">
        <f t="shared" si="32"/>
        <v>0</v>
      </c>
      <c r="F145" s="527"/>
      <c r="J145" s="325"/>
    </row>
    <row r="146" spans="3:10" ht="14.1" customHeight="1" x14ac:dyDescent="0.2">
      <c r="C146" s="421"/>
      <c r="D146" s="422" t="s">
        <v>448</v>
      </c>
      <c r="E146" s="627">
        <f t="shared" ref="E146" si="33">SUM(E140:E145)</f>
        <v>7375.1958041958042</v>
      </c>
      <c r="F146" s="527"/>
      <c r="J146" s="325"/>
    </row>
    <row r="147" spans="3:10" ht="14.1" customHeight="1" x14ac:dyDescent="0.2">
      <c r="C147" s="421"/>
      <c r="D147" s="422"/>
      <c r="E147" s="628"/>
      <c r="F147" s="527"/>
      <c r="J147" s="325"/>
    </row>
    <row r="148" spans="3:10" ht="14.1" customHeight="1" x14ac:dyDescent="0.2">
      <c r="C148" s="417"/>
      <c r="D148" s="423" t="s">
        <v>451</v>
      </c>
      <c r="E148" s="629"/>
      <c r="F148" s="527"/>
      <c r="J148" s="325"/>
    </row>
    <row r="149" spans="3:10" ht="14.1" customHeight="1" x14ac:dyDescent="0.2">
      <c r="C149" s="421"/>
      <c r="D149" s="419" t="s">
        <v>382</v>
      </c>
      <c r="E149" s="626">
        <f t="shared" ref="E149:E154" si="34">IF($E$138=$E$193,E204,IF($E$138=$F$193,F204,IF($E$138=$G$193,G204,IF($E$138=$H$193,H204,IF($E$138=$I$193,I204,0)))))</f>
        <v>1015</v>
      </c>
      <c r="F149" s="527"/>
      <c r="J149" s="325"/>
    </row>
    <row r="150" spans="3:10" ht="14.1" customHeight="1" x14ac:dyDescent="0.2">
      <c r="C150" s="421"/>
      <c r="D150" s="419" t="s">
        <v>383</v>
      </c>
      <c r="E150" s="626">
        <f t="shared" si="34"/>
        <v>735</v>
      </c>
      <c r="F150" s="527"/>
      <c r="J150" s="325"/>
    </row>
    <row r="151" spans="3:10" ht="14.1" customHeight="1" x14ac:dyDescent="0.2">
      <c r="C151" s="421"/>
      <c r="D151" s="420" t="s">
        <v>436</v>
      </c>
      <c r="E151" s="626">
        <f t="shared" si="34"/>
        <v>6000.844755244756</v>
      </c>
      <c r="F151" s="527"/>
      <c r="J151" s="325"/>
    </row>
    <row r="152" spans="3:10" ht="14.1" customHeight="1" x14ac:dyDescent="0.2">
      <c r="C152" s="421"/>
      <c r="D152" s="420" t="s">
        <v>420</v>
      </c>
      <c r="E152" s="626">
        <f t="shared" si="34"/>
        <v>430.5</v>
      </c>
      <c r="F152" s="527"/>
      <c r="J152" s="325"/>
    </row>
    <row r="153" spans="3:10" ht="14.1" customHeight="1" x14ac:dyDescent="0.2">
      <c r="C153" s="421"/>
      <c r="D153" s="420" t="s">
        <v>438</v>
      </c>
      <c r="E153" s="626">
        <f t="shared" si="34"/>
        <v>0</v>
      </c>
      <c r="F153" s="527"/>
      <c r="J153" s="325"/>
    </row>
    <row r="154" spans="3:10" ht="14.1" customHeight="1" x14ac:dyDescent="0.2">
      <c r="C154" s="421"/>
      <c r="D154" s="420" t="s">
        <v>434</v>
      </c>
      <c r="E154" s="626">
        <f t="shared" si="34"/>
        <v>0</v>
      </c>
      <c r="F154" s="527"/>
      <c r="J154" s="325"/>
    </row>
    <row r="155" spans="3:10" ht="14.1" customHeight="1" x14ac:dyDescent="0.2">
      <c r="C155" s="421"/>
      <c r="D155" s="424" t="s">
        <v>463</v>
      </c>
      <c r="E155" s="630">
        <f t="shared" ref="E155" si="35">SUM(E149:E154)</f>
        <v>8181.344755244756</v>
      </c>
      <c r="F155" s="527"/>
      <c r="J155" s="325"/>
    </row>
    <row r="156" spans="3:10" ht="14.1" customHeight="1" x14ac:dyDescent="0.2">
      <c r="C156" s="421"/>
      <c r="D156" s="425" t="s">
        <v>455</v>
      </c>
      <c r="E156" s="631">
        <f>E155-E146</f>
        <v>806.14895104895186</v>
      </c>
      <c r="F156" s="527"/>
      <c r="J156" s="325"/>
    </row>
    <row r="157" spans="3:10" ht="14.1" customHeight="1" thickBot="1" x14ac:dyDescent="0.25">
      <c r="C157" s="421"/>
      <c r="D157" s="426"/>
      <c r="E157" s="632"/>
      <c r="F157" s="527"/>
      <c r="J157" s="325"/>
    </row>
    <row r="158" spans="3:10" ht="14.1" customHeight="1" thickBot="1" x14ac:dyDescent="0.3">
      <c r="C158" s="421"/>
      <c r="D158" s="427" t="s">
        <v>503</v>
      </c>
      <c r="E158" s="633">
        <f>E155*($F$158)</f>
        <v>0</v>
      </c>
      <c r="F158" s="634"/>
      <c r="G158" s="635" t="s">
        <v>477</v>
      </c>
      <c r="H158" s="636"/>
      <c r="I158" s="637"/>
      <c r="J158" s="325"/>
    </row>
    <row r="159" spans="3:10" ht="14.1" customHeight="1" x14ac:dyDescent="0.2">
      <c r="C159" s="421"/>
      <c r="D159" s="428" t="s">
        <v>491</v>
      </c>
      <c r="E159" s="638">
        <f>E156+E158</f>
        <v>806.14895104895186</v>
      </c>
      <c r="F159" s="527"/>
      <c r="G159" s="558" t="s">
        <v>478</v>
      </c>
      <c r="H159" s="559"/>
      <c r="I159" s="639"/>
      <c r="J159" s="325"/>
    </row>
    <row r="160" spans="3:10" ht="14.1" customHeight="1" x14ac:dyDescent="0.2">
      <c r="C160" s="421"/>
      <c r="D160" s="389"/>
      <c r="E160" s="632"/>
      <c r="F160" s="527"/>
      <c r="G160" s="563" t="s">
        <v>479</v>
      </c>
      <c r="H160" s="564"/>
      <c r="I160" s="640"/>
      <c r="J160" s="325"/>
    </row>
    <row r="161" spans="3:15" ht="14.1" customHeight="1" thickBot="1" x14ac:dyDescent="0.25">
      <c r="C161" s="421"/>
      <c r="D161" s="429" t="s">
        <v>454</v>
      </c>
      <c r="E161" s="641">
        <f t="shared" ref="E161" si="36">E146+E159</f>
        <v>8181.344755244756</v>
      </c>
      <c r="F161" s="527"/>
      <c r="G161" s="572" t="s">
        <v>480</v>
      </c>
      <c r="H161" s="642"/>
      <c r="I161" s="643"/>
      <c r="J161" s="325"/>
    </row>
    <row r="162" spans="3:15" ht="14.1" customHeight="1" thickBot="1" x14ac:dyDescent="0.25">
      <c r="C162" s="421"/>
      <c r="D162" s="426"/>
      <c r="E162" s="632"/>
      <c r="F162" s="527"/>
      <c r="J162" s="325"/>
    </row>
    <row r="163" spans="3:15" ht="14.1" customHeight="1" thickBot="1" x14ac:dyDescent="0.3">
      <c r="C163" s="421"/>
      <c r="D163" s="430" t="s">
        <v>498</v>
      </c>
      <c r="E163" s="644">
        <f>IF($F$163=$AO$22,E161*0.5%,0)</f>
        <v>40.906723776223778</v>
      </c>
      <c r="F163" s="634" t="s">
        <v>526</v>
      </c>
      <c r="G163" s="635" t="s">
        <v>528</v>
      </c>
      <c r="H163" s="636"/>
      <c r="I163" s="637"/>
      <c r="J163" s="325"/>
    </row>
    <row r="164" spans="3:15" ht="14.1" customHeight="1" x14ac:dyDescent="0.2">
      <c r="C164" s="421"/>
      <c r="D164" s="431" t="s">
        <v>425</v>
      </c>
      <c r="E164" s="641">
        <f>E159*2.5%</f>
        <v>20.153723776223799</v>
      </c>
      <c r="F164" s="527"/>
      <c r="J164" s="325"/>
    </row>
    <row r="165" spans="3:15" ht="14.1" customHeight="1" x14ac:dyDescent="0.2">
      <c r="C165" s="421"/>
      <c r="D165" s="431" t="s">
        <v>489</v>
      </c>
      <c r="E165" s="641">
        <f>E161+E163+E164</f>
        <v>8242.4052027972048</v>
      </c>
      <c r="F165" s="527"/>
      <c r="J165" s="325"/>
    </row>
    <row r="166" spans="3:15" ht="14.1" customHeight="1" x14ac:dyDescent="0.2">
      <c r="C166" s="421"/>
      <c r="D166" s="432" t="s">
        <v>492</v>
      </c>
      <c r="E166" s="645">
        <f>((E165-E142-E140)*15%)</f>
        <v>291.3314097902101</v>
      </c>
      <c r="F166" s="527"/>
      <c r="J166" s="325"/>
      <c r="N166" s="332"/>
      <c r="O166" s="433"/>
    </row>
    <row r="167" spans="3:15" ht="14.1" customHeight="1" x14ac:dyDescent="0.2">
      <c r="C167" s="421"/>
      <c r="D167" s="434" t="s">
        <v>462</v>
      </c>
      <c r="E167" s="646">
        <f>SUM(E165:E166)</f>
        <v>8533.7366125874141</v>
      </c>
      <c r="F167" s="527"/>
      <c r="J167" s="325"/>
      <c r="N167" s="332"/>
    </row>
    <row r="168" spans="3:15" ht="14.1" customHeight="1" x14ac:dyDescent="0.2">
      <c r="C168" s="421"/>
      <c r="D168" s="435" t="s">
        <v>427</v>
      </c>
      <c r="E168" s="641"/>
      <c r="F168" s="527"/>
      <c r="J168" s="325"/>
      <c r="N168" s="332"/>
    </row>
    <row r="169" spans="3:15" ht="14.1" customHeight="1" x14ac:dyDescent="0.2">
      <c r="C169" s="421"/>
      <c r="D169" s="436" t="s">
        <v>152</v>
      </c>
      <c r="E169" s="647">
        <f>E167-E146-E163-E164-E166</f>
        <v>806.14895104895231</v>
      </c>
      <c r="F169" s="527"/>
      <c r="J169" s="325"/>
      <c r="N169" s="332"/>
    </row>
    <row r="170" spans="3:15" ht="14.1" customHeight="1" thickBot="1" x14ac:dyDescent="0.25">
      <c r="C170" s="437"/>
      <c r="D170" s="438" t="s">
        <v>505</v>
      </c>
      <c r="E170" s="648">
        <f>E169/E167</f>
        <v>9.4466115799715242E-2</v>
      </c>
      <c r="F170" s="527"/>
      <c r="J170" s="325"/>
      <c r="N170" s="332"/>
    </row>
    <row r="171" spans="3:15" ht="14.1" customHeight="1" x14ac:dyDescent="0.2">
      <c r="N171" s="332"/>
    </row>
    <row r="172" spans="3:15" ht="14.1" customHeight="1" thickBot="1" x14ac:dyDescent="0.25">
      <c r="J172" s="325"/>
      <c r="N172" s="332"/>
    </row>
    <row r="173" spans="3:15" ht="14.1" customHeight="1" thickBot="1" x14ac:dyDescent="0.25">
      <c r="D173" s="392" t="s">
        <v>496</v>
      </c>
      <c r="E173" s="635"/>
      <c r="F173" s="635"/>
      <c r="G173" s="635"/>
      <c r="H173" s="635"/>
      <c r="N173" s="332"/>
    </row>
    <row r="174" spans="3:15" ht="14.1" customHeight="1" x14ac:dyDescent="0.2">
      <c r="D174" s="1076" t="s">
        <v>497</v>
      </c>
      <c r="E174" s="1077"/>
      <c r="F174" s="1077"/>
      <c r="G174" s="1077"/>
      <c r="H174" s="1078"/>
      <c r="N174" s="332"/>
    </row>
    <row r="175" spans="3:15" ht="14.1" customHeight="1" x14ac:dyDescent="0.2">
      <c r="D175" s="1079"/>
      <c r="E175" s="1080"/>
      <c r="F175" s="1080"/>
      <c r="G175" s="1080"/>
      <c r="H175" s="1081"/>
    </row>
    <row r="176" spans="3:15" ht="14.1" customHeight="1" x14ac:dyDescent="0.2">
      <c r="D176" s="1079"/>
      <c r="E176" s="1080"/>
      <c r="F176" s="1080"/>
      <c r="G176" s="1080"/>
      <c r="H176" s="1081"/>
    </row>
    <row r="177" spans="4:31" ht="14.1" customHeight="1" x14ac:dyDescent="0.2">
      <c r="D177" s="1079"/>
      <c r="E177" s="1080"/>
      <c r="F177" s="1080"/>
      <c r="G177" s="1080"/>
      <c r="H177" s="1081"/>
      <c r="N177" s="439"/>
    </row>
    <row r="178" spans="4:31" ht="14.1" customHeight="1" x14ac:dyDescent="0.2">
      <c r="D178" s="1079"/>
      <c r="E178" s="1080"/>
      <c r="F178" s="1080"/>
      <c r="G178" s="1080"/>
      <c r="H178" s="1081"/>
    </row>
    <row r="179" spans="4:31" ht="14.1" customHeight="1" x14ac:dyDescent="0.2">
      <c r="D179" s="1079"/>
      <c r="E179" s="1080"/>
      <c r="F179" s="1080"/>
      <c r="G179" s="1080"/>
      <c r="H179" s="1081"/>
    </row>
    <row r="180" spans="4:31" ht="14.1" customHeight="1" x14ac:dyDescent="0.2">
      <c r="D180" s="1079"/>
      <c r="E180" s="1080"/>
      <c r="F180" s="1080"/>
      <c r="G180" s="1080"/>
      <c r="H180" s="1081"/>
    </row>
    <row r="181" spans="4:31" ht="14.1" customHeight="1" x14ac:dyDescent="0.2">
      <c r="D181" s="1079"/>
      <c r="E181" s="1080"/>
      <c r="F181" s="1080"/>
      <c r="G181" s="1080"/>
      <c r="H181" s="1081"/>
    </row>
    <row r="182" spans="4:31" ht="14.1" customHeight="1" x14ac:dyDescent="0.2">
      <c r="D182" s="1079"/>
      <c r="E182" s="1080"/>
      <c r="F182" s="1080"/>
      <c r="G182" s="1080"/>
      <c r="H182" s="1081"/>
      <c r="AE182" s="332"/>
    </row>
    <row r="183" spans="4:31" ht="14.1" customHeight="1" x14ac:dyDescent="0.2">
      <c r="D183" s="1079"/>
      <c r="E183" s="1080"/>
      <c r="F183" s="1080"/>
      <c r="G183" s="1080"/>
      <c r="H183" s="1081"/>
      <c r="AE183" s="332"/>
    </row>
    <row r="184" spans="4:31" ht="14.1" customHeight="1" x14ac:dyDescent="0.2">
      <c r="D184" s="1079"/>
      <c r="E184" s="1080"/>
      <c r="F184" s="1080"/>
      <c r="G184" s="1080"/>
      <c r="H184" s="1081"/>
      <c r="AE184" s="332"/>
    </row>
    <row r="185" spans="4:31" ht="14.1" customHeight="1" x14ac:dyDescent="0.2">
      <c r="D185" s="1079"/>
      <c r="E185" s="1080"/>
      <c r="F185" s="1080"/>
      <c r="G185" s="1080"/>
      <c r="H185" s="1081"/>
      <c r="AE185" s="332"/>
    </row>
    <row r="186" spans="4:31" ht="14.1" customHeight="1" x14ac:dyDescent="0.2">
      <c r="D186" s="1079"/>
      <c r="E186" s="1080"/>
      <c r="F186" s="1080"/>
      <c r="G186" s="1080"/>
      <c r="H186" s="1081"/>
      <c r="AE186" s="332"/>
    </row>
    <row r="187" spans="4:31" ht="14.1" customHeight="1" x14ac:dyDescent="0.2">
      <c r="D187" s="1079"/>
      <c r="E187" s="1080"/>
      <c r="F187" s="1080"/>
      <c r="G187" s="1080"/>
      <c r="H187" s="1081"/>
      <c r="N187" s="439"/>
      <c r="AE187" s="332"/>
    </row>
    <row r="188" spans="4:31" ht="14.1" customHeight="1" thickBot="1" x14ac:dyDescent="0.25">
      <c r="D188" s="1082"/>
      <c r="E188" s="1083"/>
      <c r="F188" s="1083"/>
      <c r="G188" s="1083"/>
      <c r="H188" s="1084"/>
      <c r="AE188" s="332"/>
    </row>
    <row r="189" spans="4:31" ht="14.1" customHeight="1" x14ac:dyDescent="0.2">
      <c r="N189" s="433"/>
      <c r="AE189" s="332"/>
    </row>
    <row r="190" spans="4:31" ht="14.1" customHeight="1" x14ac:dyDescent="0.2">
      <c r="AE190" s="332"/>
    </row>
    <row r="191" spans="4:31" ht="14.1" customHeight="1" x14ac:dyDescent="0.2">
      <c r="AE191" s="332"/>
    </row>
    <row r="192" spans="4:31" ht="14.1" customHeight="1" thickBot="1" x14ac:dyDescent="0.25">
      <c r="AE192" s="332"/>
    </row>
    <row r="193" spans="3:40" ht="15.75" customHeight="1" thickBot="1" x14ac:dyDescent="0.25">
      <c r="C193" s="458"/>
      <c r="D193" s="459" t="s">
        <v>435</v>
      </c>
      <c r="E193" s="1085" t="s">
        <v>506</v>
      </c>
      <c r="F193" s="1085" t="s">
        <v>507</v>
      </c>
      <c r="G193" s="1085" t="s">
        <v>508</v>
      </c>
      <c r="H193" s="1069" t="s">
        <v>529</v>
      </c>
      <c r="I193" s="1069" t="s">
        <v>531</v>
      </c>
      <c r="J193" s="325"/>
      <c r="AE193" s="332"/>
    </row>
    <row r="194" spans="3:40" ht="18.75" customHeight="1" x14ac:dyDescent="0.2">
      <c r="C194" s="460"/>
      <c r="D194" s="461" t="s">
        <v>450</v>
      </c>
      <c r="E194" s="1085"/>
      <c r="F194" s="1085"/>
      <c r="G194" s="1085"/>
      <c r="H194" s="1069"/>
      <c r="I194" s="1069"/>
      <c r="J194" s="325"/>
      <c r="P194" s="332"/>
      <c r="Q194" s="332"/>
      <c r="R194" s="332"/>
      <c r="S194" s="332"/>
      <c r="T194" s="332"/>
      <c r="U194" s="332"/>
      <c r="V194" s="332"/>
      <c r="W194" s="332"/>
      <c r="X194" s="332"/>
      <c r="Y194" s="332"/>
      <c r="Z194" s="332"/>
      <c r="AA194" s="332"/>
      <c r="AB194" s="332"/>
      <c r="AC194" s="332"/>
      <c r="AD194" s="332"/>
      <c r="AE194" s="332"/>
      <c r="AL194" s="332"/>
      <c r="AM194" s="332"/>
      <c r="AN194" s="332"/>
    </row>
    <row r="195" spans="3:40" ht="14.25" customHeight="1" x14ac:dyDescent="0.2">
      <c r="C195" s="460"/>
      <c r="D195" s="462" t="s">
        <v>382</v>
      </c>
      <c r="E195" s="649">
        <f>P44</f>
        <v>900</v>
      </c>
      <c r="F195" s="649">
        <f>E195</f>
        <v>900</v>
      </c>
      <c r="G195" s="649">
        <f>F195</f>
        <v>900</v>
      </c>
      <c r="H195" s="626">
        <f>G195</f>
        <v>900</v>
      </c>
      <c r="I195" s="626">
        <f>H195</f>
        <v>900</v>
      </c>
      <c r="J195" s="440"/>
      <c r="N195" s="332"/>
      <c r="O195" s="332"/>
      <c r="P195" s="332"/>
      <c r="Q195" s="332"/>
      <c r="R195" s="332"/>
      <c r="S195" s="332"/>
      <c r="T195" s="332"/>
      <c r="U195" s="332"/>
      <c r="V195" s="332"/>
      <c r="W195" s="332"/>
      <c r="X195" s="332"/>
      <c r="Y195" s="332"/>
      <c r="Z195" s="332"/>
      <c r="AA195" s="332"/>
      <c r="AB195" s="332"/>
      <c r="AC195" s="332"/>
      <c r="AD195" s="332"/>
      <c r="AE195" s="332"/>
      <c r="AL195" s="332"/>
      <c r="AM195" s="332"/>
      <c r="AN195" s="332"/>
    </row>
    <row r="196" spans="3:40" ht="14.25" customHeight="1" x14ac:dyDescent="0.2">
      <c r="C196" s="460"/>
      <c r="D196" s="462" t="s">
        <v>383</v>
      </c>
      <c r="E196" s="649">
        <f>M44</f>
        <v>700</v>
      </c>
      <c r="F196" s="649">
        <f>E196</f>
        <v>700</v>
      </c>
      <c r="G196" s="649">
        <f t="shared" ref="G196:I196" si="37">F196</f>
        <v>700</v>
      </c>
      <c r="H196" s="626">
        <f t="shared" si="37"/>
        <v>700</v>
      </c>
      <c r="I196" s="626">
        <f t="shared" si="37"/>
        <v>700</v>
      </c>
      <c r="J196" s="440"/>
      <c r="L196" s="341"/>
      <c r="N196" s="332"/>
      <c r="O196" s="332"/>
      <c r="P196" s="332"/>
      <c r="Q196" s="332"/>
      <c r="R196" s="332"/>
      <c r="S196" s="332"/>
      <c r="T196" s="332"/>
      <c r="U196" s="332"/>
      <c r="V196" s="332"/>
      <c r="W196" s="332"/>
      <c r="X196" s="332"/>
      <c r="Y196" s="332"/>
      <c r="Z196" s="332"/>
      <c r="AA196" s="332"/>
      <c r="AB196" s="332"/>
      <c r="AC196" s="332"/>
      <c r="AD196" s="332"/>
      <c r="AE196" s="332"/>
      <c r="AL196" s="332"/>
      <c r="AM196" s="332"/>
      <c r="AN196" s="332"/>
    </row>
    <row r="197" spans="3:40" ht="14.25" customHeight="1" x14ac:dyDescent="0.2">
      <c r="C197" s="460"/>
      <c r="D197" s="463" t="s">
        <v>436</v>
      </c>
      <c r="E197" s="649">
        <f>G66+G77+H84</f>
        <v>5400.1958041958042</v>
      </c>
      <c r="F197" s="649">
        <f>E197</f>
        <v>5400.1958041958042</v>
      </c>
      <c r="G197" s="649">
        <f>E197</f>
        <v>5400.1958041958042</v>
      </c>
      <c r="H197" s="626">
        <f>E197</f>
        <v>5400.1958041958042</v>
      </c>
      <c r="I197" s="626">
        <f>F197</f>
        <v>5400.1958041958042</v>
      </c>
      <c r="J197" s="440"/>
      <c r="L197" s="341"/>
      <c r="N197" s="332"/>
      <c r="O197" s="332"/>
      <c r="P197" s="332"/>
      <c r="Q197" s="332"/>
      <c r="R197" s="332"/>
      <c r="S197" s="332"/>
      <c r="T197" s="332"/>
      <c r="U197" s="332"/>
      <c r="V197" s="332"/>
      <c r="W197" s="332"/>
      <c r="X197" s="332"/>
      <c r="Y197" s="332"/>
      <c r="Z197" s="332"/>
      <c r="AA197" s="332"/>
      <c r="AB197" s="332"/>
      <c r="AC197" s="332"/>
      <c r="AD197" s="332"/>
      <c r="AE197" s="332"/>
      <c r="AL197" s="332"/>
      <c r="AM197" s="332"/>
      <c r="AN197" s="332"/>
    </row>
    <row r="198" spans="3:40" ht="14.25" customHeight="1" x14ac:dyDescent="0.2">
      <c r="C198" s="460"/>
      <c r="D198" s="463" t="s">
        <v>420</v>
      </c>
      <c r="E198" s="649">
        <f>H118</f>
        <v>375</v>
      </c>
      <c r="F198" s="649">
        <f>E198</f>
        <v>375</v>
      </c>
      <c r="G198" s="649">
        <f>F198</f>
        <v>375</v>
      </c>
      <c r="H198" s="626">
        <f>G198</f>
        <v>375</v>
      </c>
      <c r="I198" s="626">
        <f>H198</f>
        <v>375</v>
      </c>
      <c r="J198" s="440"/>
      <c r="L198" s="341"/>
      <c r="N198" s="332"/>
      <c r="O198" s="332"/>
      <c r="P198" s="332"/>
      <c r="Q198" s="332"/>
      <c r="R198" s="332"/>
      <c r="S198" s="332"/>
      <c r="T198" s="332"/>
      <c r="U198" s="332"/>
      <c r="V198" s="332"/>
      <c r="W198" s="332"/>
      <c r="X198" s="332"/>
      <c r="Y198" s="332"/>
      <c r="Z198" s="332"/>
      <c r="AA198" s="332"/>
      <c r="AB198" s="332"/>
      <c r="AC198" s="332"/>
      <c r="AD198" s="332"/>
      <c r="AE198" s="332"/>
      <c r="AL198" s="332"/>
      <c r="AM198" s="332"/>
      <c r="AN198" s="332"/>
    </row>
    <row r="199" spans="3:40" ht="14.25" customHeight="1" x14ac:dyDescent="0.2">
      <c r="C199" s="460"/>
      <c r="D199" s="463" t="s">
        <v>438</v>
      </c>
      <c r="E199" s="649">
        <f>G132</f>
        <v>0</v>
      </c>
      <c r="F199" s="649">
        <f>E199</f>
        <v>0</v>
      </c>
      <c r="G199" s="649">
        <f>E199</f>
        <v>0</v>
      </c>
      <c r="H199" s="626">
        <f>E199</f>
        <v>0</v>
      </c>
      <c r="I199" s="626">
        <f>F199</f>
        <v>0</v>
      </c>
      <c r="J199" s="440"/>
      <c r="K199" s="433"/>
      <c r="L199" s="341"/>
      <c r="N199" s="332"/>
      <c r="O199" s="332"/>
      <c r="P199" s="332"/>
      <c r="Q199" s="332"/>
      <c r="R199" s="332"/>
      <c r="S199" s="332"/>
      <c r="T199" s="332"/>
      <c r="U199" s="332"/>
      <c r="V199" s="332"/>
      <c r="W199" s="332"/>
      <c r="X199" s="332"/>
      <c r="Y199" s="332"/>
      <c r="Z199" s="332"/>
      <c r="AA199" s="332"/>
      <c r="AB199" s="332"/>
      <c r="AC199" s="332"/>
      <c r="AD199" s="332"/>
      <c r="AE199" s="332"/>
    </row>
    <row r="200" spans="3:40" ht="14.25" customHeight="1" x14ac:dyDescent="0.2">
      <c r="C200" s="460"/>
      <c r="D200" s="463" t="s">
        <v>434</v>
      </c>
      <c r="E200" s="649">
        <f>G136</f>
        <v>0</v>
      </c>
      <c r="F200" s="649">
        <f>E200</f>
        <v>0</v>
      </c>
      <c r="G200" s="649">
        <f>E200</f>
        <v>0</v>
      </c>
      <c r="H200" s="626">
        <f>E200</f>
        <v>0</v>
      </c>
      <c r="I200" s="626">
        <f>F200</f>
        <v>0</v>
      </c>
      <c r="J200" s="440"/>
      <c r="K200" s="433"/>
      <c r="L200" s="341"/>
      <c r="N200" s="332"/>
      <c r="O200" s="332"/>
      <c r="P200" s="332"/>
      <c r="Q200" s="332"/>
      <c r="R200" s="332"/>
      <c r="S200" s="332"/>
      <c r="T200" s="332"/>
      <c r="U200" s="332"/>
      <c r="V200" s="332"/>
      <c r="W200" s="332"/>
      <c r="X200" s="332"/>
      <c r="Y200" s="332"/>
      <c r="Z200" s="332"/>
      <c r="AA200" s="332"/>
      <c r="AB200" s="332"/>
      <c r="AC200" s="332"/>
      <c r="AD200" s="332"/>
      <c r="AE200" s="332"/>
    </row>
    <row r="201" spans="3:40" ht="15" customHeight="1" x14ac:dyDescent="0.2">
      <c r="C201" s="464"/>
      <c r="D201" s="465" t="s">
        <v>448</v>
      </c>
      <c r="E201" s="650">
        <f>SUM(E195:E200)</f>
        <v>7375.1958041958042</v>
      </c>
      <c r="F201" s="650">
        <f t="shared" ref="F201:I201" si="38">SUM(F195:F200)</f>
        <v>7375.1958041958042</v>
      </c>
      <c r="G201" s="650">
        <f t="shared" si="38"/>
        <v>7375.1958041958042</v>
      </c>
      <c r="H201" s="627">
        <f t="shared" si="38"/>
        <v>7375.1958041958042</v>
      </c>
      <c r="I201" s="627">
        <f t="shared" si="38"/>
        <v>7375.1958041958042</v>
      </c>
      <c r="J201" s="325"/>
      <c r="L201" s="341"/>
      <c r="N201" s="332"/>
      <c r="O201" s="332"/>
      <c r="P201" s="332"/>
      <c r="Q201" s="332"/>
      <c r="R201" s="332"/>
      <c r="S201" s="332"/>
      <c r="T201" s="332"/>
      <c r="U201" s="332"/>
      <c r="V201" s="332"/>
      <c r="W201" s="332"/>
      <c r="X201" s="332"/>
      <c r="Y201" s="332"/>
      <c r="Z201" s="332"/>
      <c r="AA201" s="332"/>
      <c r="AB201" s="332"/>
      <c r="AC201" s="332"/>
      <c r="AD201" s="332"/>
      <c r="AE201" s="332"/>
    </row>
    <row r="202" spans="3:40" ht="5.25" customHeight="1" x14ac:dyDescent="0.2">
      <c r="C202" s="464"/>
      <c r="D202" s="465"/>
      <c r="E202" s="651"/>
      <c r="F202" s="651"/>
      <c r="G202" s="651"/>
      <c r="H202" s="628"/>
      <c r="I202" s="628"/>
      <c r="J202" s="325"/>
      <c r="N202" s="332"/>
      <c r="O202" s="332"/>
      <c r="P202" s="332"/>
      <c r="Q202" s="332"/>
      <c r="R202" s="332"/>
      <c r="S202" s="332"/>
      <c r="T202" s="332"/>
      <c r="U202" s="332"/>
      <c r="V202" s="332"/>
      <c r="W202" s="332"/>
      <c r="X202" s="332"/>
      <c r="Y202" s="332"/>
      <c r="Z202" s="332"/>
      <c r="AA202" s="332"/>
      <c r="AB202" s="332"/>
      <c r="AC202" s="332"/>
      <c r="AD202" s="332"/>
      <c r="AE202" s="332"/>
    </row>
    <row r="203" spans="3:40" ht="18.75" customHeight="1" x14ac:dyDescent="0.2">
      <c r="C203" s="460"/>
      <c r="D203" s="467" t="s">
        <v>451</v>
      </c>
      <c r="E203" s="652" t="s">
        <v>407</v>
      </c>
      <c r="F203" s="652" t="s">
        <v>443</v>
      </c>
      <c r="G203" s="652" t="s">
        <v>444</v>
      </c>
      <c r="H203" s="653" t="s">
        <v>445</v>
      </c>
      <c r="I203" s="653" t="s">
        <v>445</v>
      </c>
      <c r="J203" s="325"/>
      <c r="P203" s="332"/>
      <c r="Q203" s="332"/>
      <c r="R203" s="332"/>
      <c r="S203" s="332"/>
      <c r="T203" s="332"/>
      <c r="U203" s="332"/>
      <c r="V203" s="332"/>
      <c r="W203" s="332"/>
      <c r="X203" s="332"/>
      <c r="Y203" s="332"/>
      <c r="Z203" s="332"/>
      <c r="AA203" s="332"/>
      <c r="AB203" s="332"/>
      <c r="AC203" s="332"/>
      <c r="AD203" s="332"/>
      <c r="AE203" s="332"/>
      <c r="AL203" s="332"/>
      <c r="AM203" s="332"/>
      <c r="AN203" s="332"/>
    </row>
    <row r="204" spans="3:40" ht="15" customHeight="1" x14ac:dyDescent="0.2">
      <c r="C204" s="464"/>
      <c r="D204" s="462" t="s">
        <v>382</v>
      </c>
      <c r="E204" s="654">
        <f>X43</f>
        <v>925</v>
      </c>
      <c r="F204" s="654">
        <f t="shared" ref="F204:I204" si="39">Y43</f>
        <v>997</v>
      </c>
      <c r="G204" s="654">
        <f t="shared" si="39"/>
        <v>1006</v>
      </c>
      <c r="H204" s="654">
        <f t="shared" si="39"/>
        <v>1015</v>
      </c>
      <c r="I204" s="654">
        <f t="shared" si="39"/>
        <v>1015</v>
      </c>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332"/>
      <c r="AM204" s="332"/>
      <c r="AN204" s="332"/>
    </row>
    <row r="205" spans="3:40" ht="15" customHeight="1" x14ac:dyDescent="0.2">
      <c r="C205" s="464"/>
      <c r="D205" s="462" t="s">
        <v>383</v>
      </c>
      <c r="E205" s="654">
        <f>R43</f>
        <v>665</v>
      </c>
      <c r="F205" s="654">
        <f t="shared" ref="F205:I205" si="40">S43</f>
        <v>721</v>
      </c>
      <c r="G205" s="654">
        <f t="shared" si="40"/>
        <v>728</v>
      </c>
      <c r="H205" s="654">
        <f t="shared" si="40"/>
        <v>735</v>
      </c>
      <c r="I205" s="654">
        <f t="shared" si="40"/>
        <v>735</v>
      </c>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332"/>
      <c r="AM205" s="332"/>
      <c r="AN205" s="332"/>
    </row>
    <row r="206" spans="3:40" ht="15" customHeight="1" x14ac:dyDescent="0.2">
      <c r="C206" s="464"/>
      <c r="D206" s="463" t="s">
        <v>436</v>
      </c>
      <c r="E206" s="654">
        <f>H66+H77+I84</f>
        <v>6000.844755244756</v>
      </c>
      <c r="F206" s="654">
        <f>E206</f>
        <v>6000.844755244756</v>
      </c>
      <c r="G206" s="654">
        <f>E206</f>
        <v>6000.844755244756</v>
      </c>
      <c r="H206" s="655">
        <f>E206</f>
        <v>6000.844755244756</v>
      </c>
      <c r="I206" s="655">
        <f>F206</f>
        <v>6000.844755244756</v>
      </c>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332"/>
      <c r="AM206" s="332"/>
      <c r="AN206" s="332"/>
    </row>
    <row r="207" spans="3:40" ht="15" customHeight="1" x14ac:dyDescent="0.2">
      <c r="C207" s="464"/>
      <c r="D207" s="463" t="s">
        <v>420</v>
      </c>
      <c r="E207" s="654">
        <f>I118</f>
        <v>430.5</v>
      </c>
      <c r="F207" s="654">
        <f t="shared" ref="F207:I207" si="41">J118</f>
        <v>427.5</v>
      </c>
      <c r="G207" s="654">
        <f t="shared" si="41"/>
        <v>436.8</v>
      </c>
      <c r="H207" s="654">
        <f t="shared" si="41"/>
        <v>456.90000000000003</v>
      </c>
      <c r="I207" s="654">
        <f t="shared" si="41"/>
        <v>430.5</v>
      </c>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332"/>
      <c r="AM207" s="332"/>
      <c r="AN207" s="332"/>
    </row>
    <row r="208" spans="3:40" ht="15" customHeight="1" x14ac:dyDescent="0.2">
      <c r="C208" s="464"/>
      <c r="D208" s="463" t="s">
        <v>438</v>
      </c>
      <c r="E208" s="654">
        <f>G132</f>
        <v>0</v>
      </c>
      <c r="F208" s="654">
        <f>E208</f>
        <v>0</v>
      </c>
      <c r="G208" s="654">
        <f>F208</f>
        <v>0</v>
      </c>
      <c r="H208" s="655">
        <f>G208</f>
        <v>0</v>
      </c>
      <c r="I208" s="655">
        <f>H208</f>
        <v>0</v>
      </c>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332"/>
      <c r="AM208" s="332"/>
      <c r="AN208" s="332"/>
    </row>
    <row r="209" spans="3:40" ht="15" customHeight="1" x14ac:dyDescent="0.2">
      <c r="C209" s="464"/>
      <c r="D209" s="463" t="s">
        <v>434</v>
      </c>
      <c r="E209" s="654">
        <f>H136</f>
        <v>0</v>
      </c>
      <c r="F209" s="654">
        <f>E209</f>
        <v>0</v>
      </c>
      <c r="G209" s="654">
        <f>E209</f>
        <v>0</v>
      </c>
      <c r="H209" s="655">
        <f>E209</f>
        <v>0</v>
      </c>
      <c r="I209" s="655">
        <f>F209</f>
        <v>0</v>
      </c>
      <c r="K209" s="332"/>
      <c r="L209" s="332"/>
      <c r="M209" s="332"/>
      <c r="N209" s="332"/>
      <c r="O209" s="332"/>
      <c r="P209" s="332"/>
      <c r="Q209" s="332"/>
      <c r="R209" s="332"/>
      <c r="S209" s="332"/>
      <c r="T209" s="332"/>
      <c r="U209" s="332"/>
      <c r="V209" s="332"/>
      <c r="W209" s="332"/>
      <c r="X209" s="332"/>
      <c r="Y209" s="332"/>
      <c r="Z209" s="332"/>
      <c r="AA209" s="332"/>
      <c r="AB209" s="332"/>
      <c r="AC209" s="332"/>
      <c r="AD209" s="332"/>
      <c r="AE209" s="332"/>
      <c r="AF209" s="332"/>
      <c r="AG209" s="332"/>
      <c r="AH209" s="332"/>
      <c r="AI209" s="332"/>
      <c r="AJ209" s="332"/>
      <c r="AK209" s="332"/>
      <c r="AL209" s="332"/>
      <c r="AM209" s="332"/>
      <c r="AN209" s="332"/>
    </row>
    <row r="210" spans="3:40" ht="15" customHeight="1" x14ac:dyDescent="0.2">
      <c r="C210" s="464"/>
      <c r="D210" s="468" t="s">
        <v>463</v>
      </c>
      <c r="E210" s="656">
        <f>SUM(E204:E209)</f>
        <v>8021.344755244756</v>
      </c>
      <c r="F210" s="656">
        <f t="shared" ref="F210:I210" si="42">SUM(F204:F209)</f>
        <v>8146.344755244756</v>
      </c>
      <c r="G210" s="656">
        <f t="shared" si="42"/>
        <v>8171.6447552447562</v>
      </c>
      <c r="H210" s="630">
        <f t="shared" si="42"/>
        <v>8207.7447552447557</v>
      </c>
      <c r="I210" s="630">
        <f t="shared" si="42"/>
        <v>8181.344755244756</v>
      </c>
      <c r="K210" s="332"/>
      <c r="L210" s="332"/>
      <c r="M210" s="332"/>
      <c r="N210" s="332"/>
      <c r="O210" s="332"/>
      <c r="P210" s="332"/>
      <c r="Q210" s="332"/>
      <c r="R210" s="332"/>
      <c r="S210" s="332"/>
      <c r="T210" s="332"/>
      <c r="U210" s="332"/>
      <c r="V210" s="332"/>
      <c r="W210" s="332"/>
      <c r="X210" s="332"/>
      <c r="Y210" s="332"/>
      <c r="Z210" s="332"/>
      <c r="AA210" s="332"/>
      <c r="AB210" s="332"/>
      <c r="AC210" s="332"/>
      <c r="AD210" s="332"/>
      <c r="AE210" s="332"/>
      <c r="AF210" s="332"/>
      <c r="AG210" s="332"/>
      <c r="AH210" s="332"/>
      <c r="AI210" s="332"/>
      <c r="AJ210" s="332"/>
      <c r="AK210" s="332"/>
      <c r="AL210" s="332"/>
      <c r="AM210" s="332"/>
      <c r="AN210" s="332"/>
    </row>
    <row r="211" spans="3:40" ht="15" customHeight="1" x14ac:dyDescent="0.2">
      <c r="C211" s="464"/>
      <c r="D211" s="469" t="s">
        <v>455</v>
      </c>
      <c r="E211" s="657">
        <f>E210-E201</f>
        <v>646.14895104895186</v>
      </c>
      <c r="F211" s="657">
        <f>F210-F201</f>
        <v>771.14895104895186</v>
      </c>
      <c r="G211" s="657">
        <f>G210-G201</f>
        <v>796.44895104895204</v>
      </c>
      <c r="H211" s="631">
        <f>H210-H201</f>
        <v>832.54895104895149</v>
      </c>
      <c r="I211" s="631">
        <f>I210-I201</f>
        <v>806.14895104895186</v>
      </c>
      <c r="K211" s="332"/>
      <c r="L211" s="332"/>
      <c r="M211" s="332"/>
      <c r="N211" s="332"/>
      <c r="O211" s="332"/>
      <c r="P211" s="332"/>
      <c r="Q211" s="332"/>
      <c r="R211" s="332"/>
      <c r="S211" s="332"/>
      <c r="T211" s="332"/>
      <c r="U211" s="332"/>
      <c r="V211" s="332"/>
      <c r="W211" s="332"/>
      <c r="X211" s="332"/>
      <c r="Y211" s="332"/>
      <c r="Z211" s="332"/>
      <c r="AA211" s="332"/>
      <c r="AB211" s="332"/>
      <c r="AC211" s="332"/>
      <c r="AD211" s="332"/>
      <c r="AL211" s="332"/>
      <c r="AM211" s="332"/>
      <c r="AN211" s="332"/>
    </row>
    <row r="212" spans="3:40" ht="9" customHeight="1" x14ac:dyDescent="0.2">
      <c r="C212" s="464"/>
      <c r="D212" s="470"/>
      <c r="E212" s="658"/>
      <c r="F212" s="658"/>
      <c r="G212" s="658"/>
      <c r="H212" s="632"/>
      <c r="I212" s="632"/>
      <c r="K212" s="332"/>
      <c r="L212" s="332"/>
      <c r="M212" s="332"/>
      <c r="N212" s="332"/>
      <c r="O212" s="332"/>
      <c r="P212" s="332"/>
      <c r="Q212" s="332"/>
      <c r="R212" s="332"/>
      <c r="S212" s="332"/>
      <c r="T212" s="332"/>
      <c r="U212" s="332"/>
      <c r="V212" s="332"/>
      <c r="W212" s="332"/>
      <c r="X212" s="332"/>
      <c r="Y212" s="332"/>
      <c r="Z212" s="332"/>
      <c r="AA212" s="332"/>
      <c r="AB212" s="332"/>
      <c r="AC212" s="332"/>
      <c r="AD212" s="332"/>
      <c r="AL212" s="332"/>
      <c r="AM212" s="332"/>
      <c r="AN212" s="332"/>
    </row>
    <row r="213" spans="3:40" ht="15" customHeight="1" x14ac:dyDescent="0.2">
      <c r="C213" s="464"/>
      <c r="D213" s="471" t="s">
        <v>503</v>
      </c>
      <c r="E213" s="659">
        <f>E210*($F$158)</f>
        <v>0</v>
      </c>
      <c r="F213" s="659">
        <f t="shared" ref="F213:I213" si="43">F210*($F$158)</f>
        <v>0</v>
      </c>
      <c r="G213" s="659">
        <f t="shared" si="43"/>
        <v>0</v>
      </c>
      <c r="H213" s="633">
        <f t="shared" si="43"/>
        <v>0</v>
      </c>
      <c r="I213" s="633">
        <f t="shared" si="43"/>
        <v>0</v>
      </c>
      <c r="M213" s="332"/>
      <c r="N213" s="332"/>
      <c r="O213" s="332"/>
      <c r="P213" s="332"/>
      <c r="Q213" s="332"/>
      <c r="R213" s="332"/>
      <c r="S213" s="332"/>
      <c r="T213" s="332"/>
      <c r="U213" s="332"/>
      <c r="V213" s="332"/>
      <c r="W213" s="332"/>
      <c r="X213" s="332"/>
      <c r="Y213" s="332"/>
      <c r="Z213" s="332"/>
      <c r="AA213" s="332"/>
      <c r="AB213" s="332"/>
      <c r="AC213" s="332"/>
      <c r="AD213" s="332"/>
      <c r="AL213" s="332"/>
      <c r="AM213" s="332"/>
      <c r="AN213" s="332"/>
    </row>
    <row r="214" spans="3:40" ht="15" customHeight="1" x14ac:dyDescent="0.2">
      <c r="C214" s="464"/>
      <c r="D214" s="472" t="s">
        <v>491</v>
      </c>
      <c r="E214" s="660">
        <f>E211+E213</f>
        <v>646.14895104895186</v>
      </c>
      <c r="F214" s="660">
        <f>F211+F213</f>
        <v>771.14895104895186</v>
      </c>
      <c r="G214" s="660">
        <f>G211+G213</f>
        <v>796.44895104895204</v>
      </c>
      <c r="H214" s="638">
        <f>H211+H213</f>
        <v>832.54895104895149</v>
      </c>
      <c r="I214" s="638">
        <f>I211+I213</f>
        <v>806.14895104895186</v>
      </c>
      <c r="M214" s="332"/>
      <c r="N214" s="332"/>
      <c r="O214" s="332"/>
      <c r="P214" s="332"/>
      <c r="Q214" s="332"/>
      <c r="R214" s="332"/>
      <c r="S214" s="332"/>
      <c r="T214" s="332"/>
      <c r="U214" s="332"/>
      <c r="V214" s="332"/>
      <c r="W214" s="332"/>
      <c r="X214" s="332"/>
      <c r="Y214" s="332"/>
      <c r="Z214" s="332"/>
      <c r="AA214" s="332"/>
      <c r="AB214" s="332"/>
      <c r="AC214" s="332"/>
      <c r="AD214" s="332"/>
      <c r="AL214" s="332"/>
      <c r="AM214" s="332"/>
      <c r="AN214" s="332"/>
    </row>
    <row r="215" spans="3:40" ht="9" customHeight="1" x14ac:dyDescent="0.2">
      <c r="C215" s="464"/>
      <c r="D215" s="473"/>
      <c r="E215" s="658"/>
      <c r="F215" s="658"/>
      <c r="G215" s="658"/>
      <c r="H215" s="632"/>
      <c r="I215" s="632"/>
      <c r="M215" s="332"/>
      <c r="N215" s="332"/>
      <c r="O215" s="332"/>
      <c r="P215" s="332"/>
      <c r="Q215" s="332"/>
      <c r="R215" s="332"/>
      <c r="S215" s="332"/>
      <c r="T215" s="332"/>
      <c r="U215" s="332"/>
      <c r="V215" s="332"/>
      <c r="W215" s="332"/>
      <c r="X215" s="332"/>
      <c r="Y215" s="332"/>
      <c r="Z215" s="332"/>
      <c r="AA215" s="332"/>
      <c r="AB215" s="332"/>
      <c r="AC215" s="332"/>
      <c r="AD215" s="332"/>
      <c r="AL215" s="332"/>
      <c r="AM215" s="332"/>
      <c r="AN215" s="332"/>
    </row>
    <row r="216" spans="3:40" ht="15" customHeight="1" x14ac:dyDescent="0.2">
      <c r="C216" s="464"/>
      <c r="D216" s="474" t="s">
        <v>454</v>
      </c>
      <c r="E216" s="661">
        <f>E201+E214</f>
        <v>8021.344755244756</v>
      </c>
      <c r="F216" s="661">
        <f t="shared" ref="F216:I216" si="44">F201+F214</f>
        <v>8146.344755244756</v>
      </c>
      <c r="G216" s="661">
        <f t="shared" si="44"/>
        <v>8171.6447552447562</v>
      </c>
      <c r="H216" s="641">
        <f t="shared" si="44"/>
        <v>8207.7447552447557</v>
      </c>
      <c r="I216" s="641">
        <f t="shared" si="44"/>
        <v>8181.344755244756</v>
      </c>
      <c r="M216" s="332"/>
      <c r="N216" s="332"/>
      <c r="O216" s="332"/>
      <c r="P216" s="332"/>
      <c r="Q216" s="332"/>
      <c r="R216" s="332"/>
      <c r="S216" s="332"/>
      <c r="T216" s="332"/>
      <c r="U216" s="332"/>
      <c r="V216" s="332"/>
      <c r="W216" s="332"/>
      <c r="X216" s="332"/>
      <c r="Y216" s="332"/>
      <c r="Z216" s="332"/>
      <c r="AA216" s="332"/>
      <c r="AB216" s="332"/>
      <c r="AC216" s="332"/>
      <c r="AD216" s="332"/>
      <c r="AL216" s="332"/>
      <c r="AM216" s="332"/>
      <c r="AN216" s="332"/>
    </row>
    <row r="217" spans="3:40" ht="8.25" customHeight="1" x14ac:dyDescent="0.2">
      <c r="C217" s="464"/>
      <c r="D217" s="470"/>
      <c r="E217" s="658"/>
      <c r="F217" s="658"/>
      <c r="G217" s="658"/>
      <c r="H217" s="632"/>
      <c r="I217" s="632"/>
      <c r="K217" s="332"/>
      <c r="L217" s="332"/>
      <c r="M217" s="332"/>
      <c r="N217" s="332"/>
      <c r="O217" s="332"/>
      <c r="P217" s="332"/>
      <c r="Q217" s="332"/>
      <c r="R217" s="332"/>
      <c r="S217" s="332"/>
      <c r="T217" s="332"/>
      <c r="U217" s="332"/>
      <c r="V217" s="332"/>
      <c r="W217" s="332"/>
      <c r="X217" s="332"/>
      <c r="Y217" s="332"/>
      <c r="Z217" s="332"/>
      <c r="AA217" s="332"/>
      <c r="AB217" s="332"/>
      <c r="AC217" s="332"/>
      <c r="AD217" s="332"/>
      <c r="AL217" s="332"/>
      <c r="AM217" s="332"/>
      <c r="AN217" s="332"/>
    </row>
    <row r="218" spans="3:40" ht="15" hidden="1" customHeight="1" x14ac:dyDescent="0.25">
      <c r="C218" s="464"/>
      <c r="D218" s="475" t="s">
        <v>498</v>
      </c>
      <c r="E218" s="662">
        <f t="shared" ref="E218:G218" si="45">E216*$AJ$53</f>
        <v>0</v>
      </c>
      <c r="F218" s="662">
        <f t="shared" si="45"/>
        <v>0</v>
      </c>
      <c r="G218" s="662">
        <f t="shared" si="45"/>
        <v>0</v>
      </c>
      <c r="H218" s="644">
        <f>H216*$AJ$50</f>
        <v>41.038723776223776</v>
      </c>
      <c r="I218" s="644">
        <f>I216*$AJ$50</f>
        <v>40.906723776223778</v>
      </c>
      <c r="K218" s="332"/>
      <c r="L218" s="332"/>
      <c r="M218" s="332"/>
      <c r="N218" s="332"/>
      <c r="O218" s="332"/>
      <c r="P218" s="332"/>
      <c r="Q218" s="332"/>
      <c r="R218" s="332"/>
      <c r="S218" s="332"/>
      <c r="T218" s="332"/>
      <c r="U218" s="332"/>
      <c r="V218" s="332"/>
      <c r="W218" s="332"/>
      <c r="X218" s="332"/>
      <c r="Y218" s="332"/>
      <c r="Z218" s="332"/>
      <c r="AA218" s="332"/>
      <c r="AB218" s="332"/>
      <c r="AC218" s="332"/>
      <c r="AD218" s="332"/>
      <c r="AL218" s="332"/>
      <c r="AM218" s="332"/>
      <c r="AN218" s="332"/>
    </row>
    <row r="219" spans="3:40" ht="15" hidden="1" customHeight="1" x14ac:dyDescent="0.2">
      <c r="C219" s="464"/>
      <c r="D219" s="476" t="s">
        <v>425</v>
      </c>
      <c r="E219" s="661">
        <f>E214*2.5%</f>
        <v>16.153723776223796</v>
      </c>
      <c r="F219" s="661">
        <f t="shared" ref="F219:I219" si="46">F214*2.5%</f>
        <v>19.278723776223799</v>
      </c>
      <c r="G219" s="661">
        <f t="shared" si="46"/>
        <v>19.911223776223803</v>
      </c>
      <c r="H219" s="661">
        <f t="shared" si="46"/>
        <v>20.813723776223789</v>
      </c>
      <c r="I219" s="661">
        <f t="shared" si="46"/>
        <v>20.153723776223799</v>
      </c>
      <c r="L219" s="441"/>
      <c r="M219" s="442"/>
      <c r="N219" s="332"/>
      <c r="O219" s="332"/>
      <c r="P219" s="332"/>
      <c r="Q219" s="332"/>
      <c r="R219" s="332"/>
      <c r="S219" s="332"/>
      <c r="T219" s="332"/>
      <c r="U219" s="332"/>
      <c r="V219" s="332"/>
      <c r="W219" s="332"/>
      <c r="X219" s="332"/>
      <c r="Y219" s="332"/>
      <c r="Z219" s="332"/>
      <c r="AA219" s="332"/>
      <c r="AB219" s="332"/>
      <c r="AC219" s="332"/>
      <c r="AD219" s="332"/>
      <c r="AL219" s="332"/>
      <c r="AM219" s="332"/>
      <c r="AN219" s="332"/>
    </row>
    <row r="220" spans="3:40" ht="15" hidden="1" customHeight="1" x14ac:dyDescent="0.2">
      <c r="C220" s="464"/>
      <c r="D220" s="476" t="s">
        <v>489</v>
      </c>
      <c r="E220" s="661">
        <f>E216+E218+E219</f>
        <v>8037.4984790209801</v>
      </c>
      <c r="F220" s="661">
        <f>F216+F218+F219</f>
        <v>8165.6234790209801</v>
      </c>
      <c r="G220" s="661">
        <f>G216+G218+G219</f>
        <v>8191.55597902098</v>
      </c>
      <c r="H220" s="641">
        <f>H216+H218+H219</f>
        <v>8269.5972027972039</v>
      </c>
      <c r="I220" s="641">
        <f>I216+I218+I219</f>
        <v>8242.4052027972048</v>
      </c>
      <c r="L220" s="441"/>
      <c r="M220" s="442"/>
      <c r="N220" s="332"/>
      <c r="O220" s="332"/>
      <c r="P220" s="332"/>
      <c r="Q220" s="332"/>
      <c r="R220" s="332"/>
      <c r="S220" s="332"/>
      <c r="T220" s="332"/>
      <c r="U220" s="332"/>
      <c r="V220" s="332"/>
      <c r="W220" s="332"/>
      <c r="X220" s="332"/>
      <c r="Y220" s="332"/>
      <c r="Z220" s="332"/>
      <c r="AA220" s="332"/>
      <c r="AB220" s="332"/>
      <c r="AC220" s="332"/>
      <c r="AD220" s="332"/>
      <c r="AL220" s="332"/>
      <c r="AM220" s="332"/>
      <c r="AN220" s="332"/>
    </row>
    <row r="221" spans="3:40" ht="15" hidden="1" customHeight="1" x14ac:dyDescent="0.2">
      <c r="C221" s="464"/>
      <c r="D221" s="477" t="s">
        <v>492</v>
      </c>
      <c r="E221" s="663">
        <f>(E220-E195-E197)*0.15</f>
        <v>260.59540122377638</v>
      </c>
      <c r="F221" s="663">
        <f t="shared" ref="F221:I221" si="47">(F220-F195-F197)*0.15</f>
        <v>279.81415122377638</v>
      </c>
      <c r="G221" s="663">
        <f t="shared" si="47"/>
        <v>283.70402622377634</v>
      </c>
      <c r="H221" s="663">
        <f t="shared" si="47"/>
        <v>295.41020979020993</v>
      </c>
      <c r="I221" s="663">
        <f t="shared" si="47"/>
        <v>291.3314097902101</v>
      </c>
      <c r="J221" s="325"/>
      <c r="L221" s="332"/>
      <c r="M221" s="332"/>
      <c r="N221" s="332"/>
      <c r="O221" s="332"/>
      <c r="P221" s="332"/>
      <c r="Q221" s="332"/>
      <c r="R221" s="332"/>
      <c r="S221" s="332"/>
      <c r="T221" s="332"/>
      <c r="U221" s="332"/>
      <c r="V221" s="332"/>
      <c r="W221" s="332"/>
      <c r="X221" s="332"/>
      <c r="Y221" s="332"/>
      <c r="Z221" s="332"/>
      <c r="AA221" s="332"/>
      <c r="AB221" s="332"/>
      <c r="AC221" s="332"/>
      <c r="AD221" s="332"/>
      <c r="AL221" s="332"/>
      <c r="AM221" s="332"/>
      <c r="AN221" s="332"/>
    </row>
    <row r="222" spans="3:40" ht="15" hidden="1" customHeight="1" x14ac:dyDescent="0.2">
      <c r="C222" s="464"/>
      <c r="D222" s="478" t="s">
        <v>462</v>
      </c>
      <c r="E222" s="664">
        <f>E216+E219+E221</f>
        <v>8298.0938802447563</v>
      </c>
      <c r="F222" s="664">
        <f>SUM(F220:F221)</f>
        <v>8445.4376302447563</v>
      </c>
      <c r="G222" s="664">
        <f>SUM(G220:G221)</f>
        <v>8475.260005244756</v>
      </c>
      <c r="H222" s="646">
        <f>SUM(H220:H221)</f>
        <v>8565.0074125874144</v>
      </c>
      <c r="I222" s="646">
        <f>SUM(I220:I221)</f>
        <v>8533.7366125874141</v>
      </c>
      <c r="J222" s="325"/>
      <c r="L222" s="332"/>
      <c r="M222" s="332"/>
      <c r="N222" s="332"/>
      <c r="O222" s="332"/>
      <c r="P222" s="332"/>
      <c r="Q222" s="332"/>
      <c r="R222" s="332"/>
      <c r="S222" s="332"/>
      <c r="T222" s="332"/>
      <c r="U222" s="332"/>
      <c r="V222" s="332"/>
      <c r="W222" s="332"/>
      <c r="X222" s="332"/>
      <c r="Y222" s="332"/>
      <c r="Z222" s="332"/>
      <c r="AA222" s="332"/>
      <c r="AB222" s="332"/>
      <c r="AC222" s="332"/>
      <c r="AD222" s="332"/>
      <c r="AL222" s="332"/>
      <c r="AM222" s="332"/>
      <c r="AN222" s="332"/>
    </row>
    <row r="223" spans="3:40" ht="15" hidden="1" customHeight="1" x14ac:dyDescent="0.2">
      <c r="C223" s="464"/>
      <c r="D223" s="479" t="s">
        <v>427</v>
      </c>
      <c r="E223" s="661"/>
      <c r="F223" s="661"/>
      <c r="G223" s="661"/>
      <c r="H223" s="641"/>
      <c r="I223" s="641"/>
      <c r="J223" s="325"/>
    </row>
    <row r="224" spans="3:40" ht="15" hidden="1" customHeight="1" x14ac:dyDescent="0.2">
      <c r="C224" s="464"/>
      <c r="D224" s="480" t="s">
        <v>152</v>
      </c>
      <c r="E224" s="665">
        <f>E222-E201-E218-E219-E221</f>
        <v>646.14895104895186</v>
      </c>
      <c r="F224" s="665">
        <f>F222-F201-F218-F219-F221</f>
        <v>771.14895104895186</v>
      </c>
      <c r="G224" s="665">
        <f>G222-G201-G218-G219-G221</f>
        <v>796.44895104895181</v>
      </c>
      <c r="H224" s="647">
        <f>H222-H201-H218-H219-H221</f>
        <v>832.54895104895274</v>
      </c>
      <c r="I224" s="647">
        <f>I222-I201-I218-I219-I221</f>
        <v>806.14895104895231</v>
      </c>
      <c r="J224" s="325"/>
    </row>
    <row r="225" spans="3:10" ht="15.75" hidden="1" customHeight="1" thickBot="1" x14ac:dyDescent="0.25">
      <c r="C225" s="481"/>
      <c r="D225" s="482" t="s">
        <v>501</v>
      </c>
      <c r="E225" s="666">
        <f>E224/(E201-E221)</f>
        <v>9.0820132467177198E-2</v>
      </c>
      <c r="F225" s="666">
        <f t="shared" ref="F225:I225" si="48">F224/(F201-F221)</f>
        <v>0.10868322364674242</v>
      </c>
      <c r="G225" s="666">
        <f t="shared" si="48"/>
        <v>0.11231049488387257</v>
      </c>
      <c r="H225" s="667">
        <f t="shared" si="48"/>
        <v>0.11759522092121379</v>
      </c>
      <c r="I225" s="667">
        <f t="shared" si="48"/>
        <v>0.11380073165793515</v>
      </c>
      <c r="J225" s="325"/>
    </row>
  </sheetData>
  <sheetProtection formatCells="0" formatColumns="0" formatRows="0" insertColumns="0" insertRows="0" insertHyperlinks="0" deleteColumns="0" deleteRows="0"/>
  <dataConsolidate/>
  <mergeCells count="83">
    <mergeCell ref="B2:AK2"/>
    <mergeCell ref="B5:K5"/>
    <mergeCell ref="B6:C6"/>
    <mergeCell ref="E6:F6"/>
    <mergeCell ref="B7:C7"/>
    <mergeCell ref="E7:F7"/>
    <mergeCell ref="B8:C8"/>
    <mergeCell ref="E8:F8"/>
    <mergeCell ref="R11:V11"/>
    <mergeCell ref="X11:AB11"/>
    <mergeCell ref="AE11:AK11"/>
    <mergeCell ref="AF12:AK12"/>
    <mergeCell ref="B13:B14"/>
    <mergeCell ref="C13:C14"/>
    <mergeCell ref="D13:D14"/>
    <mergeCell ref="E13:E14"/>
    <mergeCell ref="F13:G14"/>
    <mergeCell ref="H13:H14"/>
    <mergeCell ref="I13:I14"/>
    <mergeCell ref="J13:J14"/>
    <mergeCell ref="K13:M13"/>
    <mergeCell ref="B12:P12"/>
    <mergeCell ref="R12:T12"/>
    <mergeCell ref="U12:V12"/>
    <mergeCell ref="X12:Z12"/>
    <mergeCell ref="AA12:AB12"/>
    <mergeCell ref="AF13:AK13"/>
    <mergeCell ref="Z13:Z14"/>
    <mergeCell ref="AA13:AA14"/>
    <mergeCell ref="N13:P13"/>
    <mergeCell ref="R13:R14"/>
    <mergeCell ref="S13:S14"/>
    <mergeCell ref="T13:T14"/>
    <mergeCell ref="U13:U14"/>
    <mergeCell ref="AB13:AB14"/>
    <mergeCell ref="F26:G26"/>
    <mergeCell ref="F15:G15"/>
    <mergeCell ref="F16:G16"/>
    <mergeCell ref="F17:G17"/>
    <mergeCell ref="F18:G18"/>
    <mergeCell ref="F19:G19"/>
    <mergeCell ref="F20:G20"/>
    <mergeCell ref="F21:G21"/>
    <mergeCell ref="F22:G22"/>
    <mergeCell ref="F23:G23"/>
    <mergeCell ref="F24:G24"/>
    <mergeCell ref="F25:G25"/>
    <mergeCell ref="V13:V14"/>
    <mergeCell ref="X13:X14"/>
    <mergeCell ref="Y13:Y14"/>
    <mergeCell ref="F38:G38"/>
    <mergeCell ref="F27:G27"/>
    <mergeCell ref="F28:G28"/>
    <mergeCell ref="F29:G29"/>
    <mergeCell ref="F30:G30"/>
    <mergeCell ref="F31:G31"/>
    <mergeCell ref="F32:G32"/>
    <mergeCell ref="F33:G33"/>
    <mergeCell ref="F34:G34"/>
    <mergeCell ref="F35:G35"/>
    <mergeCell ref="F36:G36"/>
    <mergeCell ref="F37:G37"/>
    <mergeCell ref="N88:P88"/>
    <mergeCell ref="F39:G39"/>
    <mergeCell ref="F40:G40"/>
    <mergeCell ref="F41:G41"/>
    <mergeCell ref="F42:G42"/>
    <mergeCell ref="F43:J43"/>
    <mergeCell ref="D47:G47"/>
    <mergeCell ref="H63:H65"/>
    <mergeCell ref="H74:H76"/>
    <mergeCell ref="I86:M86"/>
    <mergeCell ref="I87:K87"/>
    <mergeCell ref="L87:M87"/>
    <mergeCell ref="I193:I194"/>
    <mergeCell ref="D120:G120"/>
    <mergeCell ref="C134:C136"/>
    <mergeCell ref="D134:G134"/>
    <mergeCell ref="D174:H188"/>
    <mergeCell ref="E193:E194"/>
    <mergeCell ref="F193:F194"/>
    <mergeCell ref="G193:G194"/>
    <mergeCell ref="H193:H194"/>
  </mergeCells>
  <dataValidations count="4">
    <dataValidation type="list" allowBlank="1" showInputMessage="1" showErrorMessage="1" sqref="M5:M7">
      <formula1>$M$5:$M$7</formula1>
    </dataValidation>
    <dataValidation type="list" allowBlank="1" showInputMessage="1" showErrorMessage="1" sqref="F163">
      <formula1>$AO$22:$AO$23</formula1>
    </dataValidation>
    <dataValidation type="list" allowBlank="1" showInputMessage="1" showErrorMessage="1" sqref="D7 AI17">
      <formula1>$AO$16:$AO$20</formula1>
    </dataValidation>
    <dataValidation type="list" allowBlank="1" showInputMessage="1" showErrorMessage="1" sqref="AF17">
      <formula1>$AO$25:$AO$29</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E80385D63FE24E9D52FC22007C9DBB" ma:contentTypeVersion="0" ma:contentTypeDescription="Create a new document." ma:contentTypeScope="" ma:versionID="857e0168141c874fdbd9e67d732bc6ac">
  <xsd:schema xmlns:xsd="http://www.w3.org/2001/XMLSchema" xmlns:xs="http://www.w3.org/2001/XMLSchema" xmlns:p="http://schemas.microsoft.com/office/2006/metadata/properties" targetNamespace="http://schemas.microsoft.com/office/2006/metadata/properties" ma:root="true" ma:fieldsID="d15787acf22db4e4c0ac8b858fca64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381310-7C72-4914-B0E9-AD4A0059D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D0929D-9A03-494C-AE64-5387D82D582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8FFF9F1F-7770-43D8-AD9B-2C4DA0E188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Costing Template </vt:lpstr>
      <vt:lpstr>TFG Quotation Template</vt:lpstr>
      <vt:lpstr>Cost Breakdown - FIT </vt:lpstr>
      <vt:lpstr>Cost Breakdown - TOTA</vt:lpstr>
      <vt:lpstr>TFG Quotation Template (2)</vt:lpstr>
      <vt:lpstr>'TFG Quotation Template (2)'!ddd</vt:lpstr>
      <vt:lpstr>ddd</vt:lpstr>
      <vt:lpstr>'Costing Template '!pax</vt:lpstr>
      <vt:lpstr>'Cost Breakdown - FIT '!Print_Area</vt:lpstr>
      <vt:lpstr>'Costing Template '!Print_Area</vt:lpstr>
      <vt:lpstr>'Costing Template '!td</vt:lpstr>
      <vt:lpstr>'Costing Template '!tk</vt:lpstr>
      <vt:lpstr>'TFG Quotation Template (2)'!USA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Praneeth@thefabulousgetaway.com</dc:creator>
  <cp:lastModifiedBy>Rozanne</cp:lastModifiedBy>
  <cp:lastPrinted>2017-09-20T04:17:07Z</cp:lastPrinted>
  <dcterms:created xsi:type="dcterms:W3CDTF">2005-05-12T03:14:39Z</dcterms:created>
  <dcterms:modified xsi:type="dcterms:W3CDTF">2020-01-14T07:06:25Z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0x010100B5E80385D63FE24E9D52FC22007C9DBB</vt:lpwstr>
  </property>
</Properties>
</file>